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https://fibrauno-my.sharepoint.com/personal/spena_fibrauno_mx/Documents/Relacion Con Inversionistas/FUNO/Reportes trimestrales/2025/4Q25/final/"/>
    </mc:Choice>
  </mc:AlternateContent>
  <xr:revisionPtr revIDLastSave="287" documentId="13_ncr:1_{3A09FBDA-931F-48FB-9B48-866315CCE7E0}" xr6:coauthVersionLast="47" xr6:coauthVersionMax="47" xr10:uidLastSave="{01949525-E60B-459E-86D6-E1EB72FDEBDE}"/>
  <workbookProtection workbookAlgorithmName="SHA-512" workbookHashValue="PeRDOA7dayoWrGfAjYDiugg4R6Y2l+Pw+XjrmzX2YDJUquk9fiNYuTCYjBRyvhaHCNASMdRitpjugYXD0kz/KQ==" workbookSaltValue="fJyuHaD2ojdpBDW2KeKS1Q==" workbookSpinCount="100000" lockStructure="1"/>
  <bookViews>
    <workbookView xWindow="-110" yWindow="-110" windowWidth="19420" windowHeight="11500" tabRatio="1000" activeTab="1" xr2:uid="{19360485-30BC-4A0D-B6F2-C7FC50A760DF}"/>
  </bookViews>
  <sheets>
    <sheet name="Índice" sheetId="1" r:id="rId1"/>
    <sheet name="DatosOperativos" sheetId="2" r:id="rId2"/>
    <sheet name="DatosPorCBFI" sheetId="8" r:id="rId3"/>
    <sheet name="LeasingSpreads" sheetId="6" r:id="rId4"/>
    <sheet name="PropiedadesConstantes" sheetId="7" r:id="rId5"/>
    <sheet name="EstadoDeResultados" sheetId="3" r:id="rId6"/>
    <sheet name="Balance" sheetId="4" r:id="rId7"/>
    <sheet name="Flujos" sheetId="5" r:id="rId8"/>
    <sheet name="Glosario" sheetId="10" r:id="rId9"/>
  </sheets>
  <externalReferences>
    <externalReference r:id="rId10"/>
    <externalReference r:id="rId11"/>
    <externalReference r:id="rId12"/>
    <externalReference r:id="rId13"/>
    <externalReference r:id="rId14"/>
    <externalReference r:id="rId15"/>
    <externalReference r:id="rId16"/>
    <externalReference r:id="rId17"/>
    <externalReference r:id="rId18"/>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M77" i="3" l="1"/>
  <c r="CM52" i="3"/>
  <c r="BW69" i="5" l="1"/>
  <c r="BX69" i="5"/>
  <c r="BW31" i="4" l="1"/>
  <c r="BV31" i="4"/>
  <c r="BU31" i="4"/>
  <c r="BX31" i="4"/>
  <c r="BU17" i="4"/>
  <c r="BV17" i="4"/>
  <c r="BW17" i="4"/>
  <c r="BX17" i="4"/>
  <c r="CK57" i="3" l="1"/>
  <c r="BX46" i="4" l="1"/>
  <c r="BW46" i="4"/>
  <c r="BV46" i="4"/>
  <c r="CM5" i="3" l="1"/>
  <c r="BU62" i="5"/>
  <c r="BU69" i="5"/>
  <c r="CI78" i="3" l="1"/>
  <c r="CI76" i="3"/>
  <c r="CI75" i="3"/>
  <c r="CI73" i="3"/>
  <c r="CI72" i="3"/>
  <c r="CI71" i="3"/>
  <c r="CI70" i="3"/>
  <c r="CI69" i="3"/>
  <c r="CI68" i="3"/>
  <c r="CH52" i="3" l="1"/>
  <c r="BT46" i="4"/>
  <c r="BS46" i="4"/>
  <c r="BU46" i="4"/>
  <c r="BT31" i="4"/>
  <c r="BX62" i="5" l="1"/>
  <c r="BW62" i="5"/>
  <c r="BV62" i="5"/>
  <c r="BX51" i="5"/>
  <c r="BW51" i="5"/>
  <c r="BV51" i="5"/>
  <c r="BU51" i="5"/>
  <c r="BX19" i="5"/>
  <c r="BX33" i="5" s="1"/>
  <c r="BW19" i="5"/>
  <c r="BW33" i="5" s="1"/>
  <c r="BV19" i="5"/>
  <c r="BV33" i="5" s="1"/>
  <c r="BV69" i="5" s="1"/>
  <c r="BU19" i="5"/>
  <c r="BU33" i="5" s="1"/>
  <c r="BT69" i="5"/>
  <c r="BT62" i="5"/>
  <c r="BT51" i="5"/>
  <c r="BT19" i="5"/>
  <c r="BT33" i="5" s="1"/>
  <c r="CH53" i="3"/>
  <c r="CM81" i="3"/>
  <c r="CM80" i="3"/>
  <c r="CL79" i="3"/>
  <c r="CK79" i="3"/>
  <c r="CJ79" i="3"/>
  <c r="CI79" i="3"/>
  <c r="CL76" i="3"/>
  <c r="CK76" i="3"/>
  <c r="CJ76" i="3"/>
  <c r="CL75" i="3"/>
  <c r="CM75" i="3" s="1"/>
  <c r="CK75" i="3"/>
  <c r="CJ75" i="3"/>
  <c r="CM74" i="3"/>
  <c r="CL73" i="3"/>
  <c r="CK73" i="3"/>
  <c r="CJ73" i="3"/>
  <c r="CL72" i="3"/>
  <c r="CK72" i="3"/>
  <c r="CJ72" i="3"/>
  <c r="CL71" i="3"/>
  <c r="CK71" i="3"/>
  <c r="CJ71" i="3"/>
  <c r="CL70" i="3"/>
  <c r="CK70" i="3"/>
  <c r="CJ70" i="3"/>
  <c r="CL69" i="3"/>
  <c r="CK69" i="3"/>
  <c r="CJ69" i="3"/>
  <c r="CL68" i="3"/>
  <c r="CK68" i="3"/>
  <c r="CJ68" i="3"/>
  <c r="CJ66" i="3"/>
  <c r="CI66" i="3"/>
  <c r="CL63" i="3"/>
  <c r="CK63" i="3"/>
  <c r="CJ63" i="3"/>
  <c r="CI63" i="3"/>
  <c r="CM63" i="3" s="1"/>
  <c r="CL60" i="3"/>
  <c r="CK60" i="3"/>
  <c r="CJ60" i="3"/>
  <c r="CI60" i="3"/>
  <c r="CL59" i="3"/>
  <c r="CK59" i="3"/>
  <c r="CJ59" i="3"/>
  <c r="CI59" i="3"/>
  <c r="CM59" i="3" s="1"/>
  <c r="CL58" i="3"/>
  <c r="CK58" i="3"/>
  <c r="CJ58" i="3"/>
  <c r="CI58" i="3"/>
  <c r="CL57" i="3"/>
  <c r="CI57" i="3"/>
  <c r="CM55" i="3"/>
  <c r="CM66" i="3" s="1"/>
  <c r="CL55" i="3"/>
  <c r="CL66" i="3" s="1"/>
  <c r="CK55" i="3"/>
  <c r="CK66" i="3" s="1"/>
  <c r="CJ55" i="3"/>
  <c r="CI55" i="3"/>
  <c r="CM53" i="3"/>
  <c r="CL49" i="3"/>
  <c r="CK49" i="3"/>
  <c r="CJ49" i="3"/>
  <c r="CI49" i="3"/>
  <c r="CM47" i="3"/>
  <c r="CL44" i="3"/>
  <c r="CK44" i="3"/>
  <c r="CJ44" i="3"/>
  <c r="CI44" i="3"/>
  <c r="CM43" i="3"/>
  <c r="CM42" i="3"/>
  <c r="CM39" i="3"/>
  <c r="CM35" i="3"/>
  <c r="CM34" i="3"/>
  <c r="CM33" i="3"/>
  <c r="CM32" i="3"/>
  <c r="CM31" i="3"/>
  <c r="CM30" i="3"/>
  <c r="CM29" i="3"/>
  <c r="CM28" i="3"/>
  <c r="CM27" i="3"/>
  <c r="CM26" i="3"/>
  <c r="CM25" i="3"/>
  <c r="CM24" i="3"/>
  <c r="CL21" i="3"/>
  <c r="CK21" i="3"/>
  <c r="CI21" i="3"/>
  <c r="CM20" i="3"/>
  <c r="CM19" i="3"/>
  <c r="CM18" i="3"/>
  <c r="CM16" i="3"/>
  <c r="CL14" i="3"/>
  <c r="CL56" i="3" s="1"/>
  <c r="CK14" i="3"/>
  <c r="CK56" i="3" s="1"/>
  <c r="CJ14" i="3"/>
  <c r="CJ56" i="3" s="1"/>
  <c r="CI14" i="3"/>
  <c r="CI56" i="3" s="1"/>
  <c r="CM13" i="3"/>
  <c r="CM12" i="3"/>
  <c r="CM11" i="3"/>
  <c r="CM10" i="3"/>
  <c r="CM9" i="3"/>
  <c r="CM8" i="3"/>
  <c r="CM7" i="3"/>
  <c r="CM6" i="3"/>
  <c r="CH81" i="3"/>
  <c r="CH80" i="3"/>
  <c r="CH79" i="3"/>
  <c r="CH77" i="3"/>
  <c r="CH76" i="3"/>
  <c r="CH75" i="3"/>
  <c r="CH74" i="3"/>
  <c r="CH73" i="3"/>
  <c r="CH72" i="3"/>
  <c r="CH71" i="3"/>
  <c r="CH70" i="3"/>
  <c r="CH69" i="3"/>
  <c r="CH68" i="3"/>
  <c r="CH60" i="3"/>
  <c r="CH59" i="3"/>
  <c r="CH58" i="3"/>
  <c r="CH57" i="3"/>
  <c r="CH49" i="3"/>
  <c r="CH44" i="3"/>
  <c r="CH21" i="3"/>
  <c r="CH14" i="3"/>
  <c r="CH67" i="3"/>
  <c r="CH64" i="3"/>
  <c r="CH63" i="3"/>
  <c r="CH62" i="3"/>
  <c r="CH56" i="3"/>
  <c r="CH55" i="3"/>
  <c r="CH66" i="3" s="1"/>
  <c r="BX66" i="4"/>
  <c r="BX68" i="4" s="1"/>
  <c r="BW66" i="4"/>
  <c r="BW68" i="4" s="1"/>
  <c r="BV66" i="4"/>
  <c r="BV68" i="4" s="1"/>
  <c r="BU66" i="4"/>
  <c r="BU68" i="4" s="1"/>
  <c r="BX55" i="4"/>
  <c r="BW55" i="4"/>
  <c r="BV55" i="4"/>
  <c r="BU55" i="4"/>
  <c r="BT66" i="4"/>
  <c r="BT68" i="4" s="1"/>
  <c r="BT55" i="4"/>
  <c r="BT57" i="4" s="1"/>
  <c r="BT17" i="4"/>
  <c r="CG53" i="3"/>
  <c r="CM72" i="3" l="1"/>
  <c r="CM70" i="3"/>
  <c r="CL37" i="3"/>
  <c r="CL40" i="3" s="1"/>
  <c r="CM69" i="3"/>
  <c r="CM79" i="3"/>
  <c r="CM76" i="3"/>
  <c r="CK37" i="3"/>
  <c r="CK51" i="3" s="1"/>
  <c r="CM49" i="3"/>
  <c r="CM44" i="3"/>
  <c r="CM60" i="3"/>
  <c r="BW57" i="4"/>
  <c r="BW70" i="4" s="1"/>
  <c r="BT70" i="4"/>
  <c r="BX57" i="4"/>
  <c r="BX70" i="4" s="1"/>
  <c r="CH37" i="3"/>
  <c r="CI37" i="3"/>
  <c r="CI51" i="3" s="1"/>
  <c r="BV33" i="4"/>
  <c r="BU33" i="4"/>
  <c r="CM56" i="3"/>
  <c r="CM71" i="3"/>
  <c r="CM68" i="3"/>
  <c r="CM73" i="3"/>
  <c r="CI62" i="3"/>
  <c r="CI64" i="3" s="1"/>
  <c r="CK62" i="3"/>
  <c r="CK64" i="3" s="1"/>
  <c r="CL62" i="3"/>
  <c r="CL64" i="3" s="1"/>
  <c r="CM14" i="3"/>
  <c r="CM58" i="3"/>
  <c r="CH78" i="3"/>
  <c r="CH82" i="3" s="1"/>
  <c r="CH51" i="3"/>
  <c r="CH40" i="3"/>
  <c r="BU57" i="4"/>
  <c r="BU70" i="4" s="1"/>
  <c r="BV57" i="4"/>
  <c r="BV70" i="4" s="1"/>
  <c r="BW33" i="4"/>
  <c r="BX33" i="4"/>
  <c r="BT33" i="4"/>
  <c r="BS30" i="4"/>
  <c r="AY31" i="4"/>
  <c r="AZ31" i="4"/>
  <c r="BD31" i="4"/>
  <c r="BE31" i="4"/>
  <c r="BI31" i="4"/>
  <c r="BJ31" i="4"/>
  <c r="BN31" i="4"/>
  <c r="BO31" i="4"/>
  <c r="BV72" i="4" l="1"/>
  <c r="BX72" i="4"/>
  <c r="CL51" i="3"/>
  <c r="CL67" i="3"/>
  <c r="CL78" i="3" s="1"/>
  <c r="CL82" i="3" s="1"/>
  <c r="BW72" i="4"/>
  <c r="CK67" i="3"/>
  <c r="CK78" i="3" s="1"/>
  <c r="CK82" i="3" s="1"/>
  <c r="CK40" i="3"/>
  <c r="BT72" i="4"/>
  <c r="BU72" i="4"/>
  <c r="CI40" i="3"/>
  <c r="CI67" i="3"/>
  <c r="CI82" i="3" s="1"/>
  <c r="BS31" i="4"/>
  <c r="AU17" i="4" l="1"/>
  <c r="AY17" i="4"/>
  <c r="AZ17" i="4"/>
  <c r="BD17" i="4"/>
  <c r="BE17" i="4"/>
  <c r="BI17" i="4"/>
  <c r="BJ17" i="4"/>
  <c r="BN17" i="4"/>
  <c r="BO17" i="4"/>
  <c r="BP17" i="4"/>
  <c r="BQ17" i="4"/>
  <c r="D17" i="4"/>
  <c r="C17" i="4"/>
  <c r="BR17" i="4"/>
  <c r="CG52" i="3"/>
  <c r="CG66" i="3"/>
  <c r="BS17" i="4" l="1"/>
  <c r="BB7" i="2" l="1"/>
  <c r="BR31" i="4" l="1"/>
  <c r="CG9" i="3"/>
  <c r="CG35" i="3" l="1"/>
  <c r="CG34" i="3"/>
  <c r="CG33" i="3"/>
  <c r="CG32" i="3"/>
  <c r="CG31" i="3"/>
  <c r="CG30" i="3"/>
  <c r="CG29" i="3"/>
  <c r="CG28" i="3"/>
  <c r="CG27" i="3"/>
  <c r="CG26" i="3"/>
  <c r="CG25" i="3"/>
  <c r="CG24" i="3"/>
  <c r="CG23" i="3"/>
  <c r="CD75" i="3"/>
  <c r="CD14" i="3"/>
  <c r="CG5" i="3"/>
  <c r="CD56" i="3" l="1"/>
  <c r="CD76" i="3"/>
  <c r="CC76" i="3"/>
  <c r="CG6" i="3" l="1"/>
  <c r="CG47" i="3" l="1"/>
  <c r="AZ28" i="2"/>
  <c r="AZ21" i="2"/>
  <c r="AZ14" i="2"/>
  <c r="AZ7" i="2"/>
  <c r="BP69" i="5" l="1"/>
  <c r="BO69" i="5"/>
  <c r="BS62" i="5"/>
  <c r="BR62" i="5"/>
  <c r="BQ62" i="5"/>
  <c r="BP62" i="5"/>
  <c r="BO62" i="5"/>
  <c r="BS51" i="5"/>
  <c r="BR51" i="5"/>
  <c r="BQ51" i="5"/>
  <c r="BP51" i="5"/>
  <c r="BO51" i="5"/>
  <c r="BS19" i="5"/>
  <c r="BR19" i="5"/>
  <c r="BR33" i="5" s="1"/>
  <c r="BQ19" i="5"/>
  <c r="BQ33" i="5" s="1"/>
  <c r="BP19" i="5"/>
  <c r="BP33" i="5" s="1"/>
  <c r="BO19" i="5"/>
  <c r="BO33" i="5" s="1"/>
  <c r="BS66" i="4"/>
  <c r="BS68" i="4" s="1"/>
  <c r="BR66" i="4"/>
  <c r="BR68" i="4" s="1"/>
  <c r="BQ66" i="4"/>
  <c r="BQ68" i="4" s="1"/>
  <c r="BP66" i="4"/>
  <c r="BP68" i="4" s="1"/>
  <c r="BO66" i="4"/>
  <c r="BO68" i="4" s="1"/>
  <c r="BS55" i="4"/>
  <c r="BR55" i="4"/>
  <c r="BQ55" i="4"/>
  <c r="BP55" i="4"/>
  <c r="BO55" i="4"/>
  <c r="BR46" i="4"/>
  <c r="BQ46" i="4"/>
  <c r="BP46" i="4"/>
  <c r="BO46" i="4"/>
  <c r="BQ31" i="4"/>
  <c r="BP31" i="4"/>
  <c r="BR33" i="4"/>
  <c r="CG81" i="3"/>
  <c r="CG80" i="3"/>
  <c r="CF79" i="3"/>
  <c r="CE79" i="3"/>
  <c r="CD79" i="3"/>
  <c r="CC79" i="3"/>
  <c r="CG77" i="3"/>
  <c r="CB77" i="3"/>
  <c r="CF76" i="3"/>
  <c r="CE76" i="3"/>
  <c r="CF75" i="3"/>
  <c r="CE75" i="3"/>
  <c r="CC75" i="3"/>
  <c r="CG74" i="3"/>
  <c r="CB74" i="3"/>
  <c r="CF73" i="3"/>
  <c r="CE73" i="3"/>
  <c r="CD73" i="3"/>
  <c r="CC73" i="3"/>
  <c r="CF72" i="3"/>
  <c r="CE72" i="3"/>
  <c r="CD72" i="3"/>
  <c r="CC72" i="3"/>
  <c r="CG72" i="3" s="1"/>
  <c r="CF71" i="3"/>
  <c r="CE71" i="3"/>
  <c r="CD71" i="3"/>
  <c r="CC71" i="3"/>
  <c r="CF70" i="3"/>
  <c r="CE70" i="3"/>
  <c r="CD70" i="3"/>
  <c r="CC70" i="3"/>
  <c r="CF69" i="3"/>
  <c r="CE69" i="3"/>
  <c r="CD69" i="3"/>
  <c r="CC69" i="3"/>
  <c r="CF68" i="3"/>
  <c r="CE68" i="3"/>
  <c r="CD68" i="3"/>
  <c r="CC68" i="3"/>
  <c r="CF63" i="3"/>
  <c r="CE63" i="3"/>
  <c r="CD63" i="3"/>
  <c r="CC63" i="3"/>
  <c r="CF60" i="3"/>
  <c r="CE60" i="3"/>
  <c r="CD60" i="3"/>
  <c r="CC60" i="3"/>
  <c r="CG60" i="3" s="1"/>
  <c r="CF59" i="3"/>
  <c r="CE59" i="3"/>
  <c r="CD59" i="3"/>
  <c r="CC59" i="3"/>
  <c r="CF58" i="3"/>
  <c r="CE58" i="3"/>
  <c r="CD58" i="3"/>
  <c r="CD62" i="3" s="1"/>
  <c r="CD64" i="3" s="1"/>
  <c r="CC58" i="3"/>
  <c r="CG58" i="3" s="1"/>
  <c r="CF57" i="3"/>
  <c r="CE57" i="3"/>
  <c r="CD57" i="3"/>
  <c r="CC57" i="3"/>
  <c r="CG55" i="3"/>
  <c r="CF55" i="3"/>
  <c r="CF66" i="3" s="1"/>
  <c r="CE55" i="3"/>
  <c r="CE66" i="3" s="1"/>
  <c r="CD55" i="3"/>
  <c r="CD66" i="3" s="1"/>
  <c r="CC55" i="3"/>
  <c r="CC66" i="3" s="1"/>
  <c r="CB55" i="3"/>
  <c r="CB66" i="3" s="1"/>
  <c r="CF49" i="3"/>
  <c r="CE49" i="3"/>
  <c r="CD49" i="3"/>
  <c r="CC49" i="3"/>
  <c r="CG48" i="3"/>
  <c r="CG49" i="3" s="1"/>
  <c r="CB48" i="3"/>
  <c r="CB47" i="3"/>
  <c r="CF44" i="3"/>
  <c r="CE44" i="3"/>
  <c r="CD44" i="3"/>
  <c r="CC44" i="3"/>
  <c r="CG43" i="3"/>
  <c r="CB43" i="3"/>
  <c r="CG42" i="3"/>
  <c r="CB42" i="3"/>
  <c r="CG39" i="3"/>
  <c r="CB39" i="3"/>
  <c r="CG38" i="3"/>
  <c r="CB38" i="3"/>
  <c r="CB35" i="3"/>
  <c r="CB34" i="3"/>
  <c r="CB33" i="3"/>
  <c r="CB32" i="3"/>
  <c r="CB31" i="3"/>
  <c r="CB30" i="3"/>
  <c r="CB29" i="3"/>
  <c r="CB28" i="3"/>
  <c r="CB27" i="3"/>
  <c r="CB26" i="3"/>
  <c r="CB25" i="3"/>
  <c r="CB24" i="3"/>
  <c r="CB23" i="3"/>
  <c r="CF21" i="3"/>
  <c r="CE21" i="3"/>
  <c r="CD21" i="3"/>
  <c r="CD37" i="3" s="1"/>
  <c r="CD67" i="3" s="1"/>
  <c r="CD78" i="3" s="1"/>
  <c r="CC21" i="3"/>
  <c r="CG20" i="3"/>
  <c r="CB20" i="3"/>
  <c r="CG19" i="3"/>
  <c r="CB19" i="3"/>
  <c r="CG18" i="3"/>
  <c r="CB18" i="3"/>
  <c r="CG17" i="3"/>
  <c r="CB17" i="3"/>
  <c r="CG16" i="3"/>
  <c r="CB16" i="3"/>
  <c r="CF14" i="3"/>
  <c r="CF56" i="3" s="1"/>
  <c r="CE14" i="3"/>
  <c r="CE56" i="3" s="1"/>
  <c r="CC14" i="3"/>
  <c r="CG13" i="3"/>
  <c r="CB13" i="3"/>
  <c r="CG12" i="3"/>
  <c r="CB12" i="3"/>
  <c r="CG11" i="3"/>
  <c r="CB11" i="3"/>
  <c r="CG10" i="3"/>
  <c r="CB10" i="3"/>
  <c r="CG8" i="3"/>
  <c r="CB8" i="3"/>
  <c r="CG7" i="3"/>
  <c r="CB7" i="3"/>
  <c r="CB5" i="3"/>
  <c r="BQ65" i="5" l="1"/>
  <c r="BQ69" i="5" s="1"/>
  <c r="BP57" i="4"/>
  <c r="BP70" i="4" s="1"/>
  <c r="BS33" i="5"/>
  <c r="BS57" i="4"/>
  <c r="BS70" i="4" s="1"/>
  <c r="BQ57" i="4"/>
  <c r="BQ70" i="4" s="1"/>
  <c r="BO57" i="4"/>
  <c r="BO70" i="4" s="1"/>
  <c r="CG68" i="3"/>
  <c r="CG70" i="3"/>
  <c r="CG76" i="3"/>
  <c r="BR65" i="5"/>
  <c r="BR69" i="5" s="1"/>
  <c r="BR57" i="4"/>
  <c r="BR70" i="4" s="1"/>
  <c r="CG44" i="3"/>
  <c r="CG21" i="3"/>
  <c r="CE62" i="3"/>
  <c r="CE64" i="3" s="1"/>
  <c r="CG57" i="3"/>
  <c r="CG63" i="3"/>
  <c r="CG71" i="3"/>
  <c r="CF62" i="3"/>
  <c r="CF64" i="3" s="1"/>
  <c r="CB44" i="3"/>
  <c r="CB49" i="3"/>
  <c r="CG14" i="3"/>
  <c r="BO33" i="4"/>
  <c r="BP33" i="4"/>
  <c r="BS33" i="4"/>
  <c r="BQ33" i="4"/>
  <c r="CE37" i="3"/>
  <c r="CE40" i="3" s="1"/>
  <c r="CF37" i="3"/>
  <c r="CF67" i="3" s="1"/>
  <c r="CF78" i="3" s="1"/>
  <c r="CF82" i="3" s="1"/>
  <c r="CG59" i="3"/>
  <c r="CG69" i="3"/>
  <c r="CG73" i="3"/>
  <c r="CG75" i="3"/>
  <c r="CG79" i="3"/>
  <c r="CD40" i="3"/>
  <c r="CD51" i="3"/>
  <c r="CD82" i="3"/>
  <c r="CC37" i="3"/>
  <c r="CC56" i="3"/>
  <c r="BS72" i="4" l="1"/>
  <c r="CG37" i="3"/>
  <c r="CG51" i="3" s="1"/>
  <c r="CF51" i="3"/>
  <c r="CE51" i="3"/>
  <c r="CE67" i="3"/>
  <c r="CE78" i="3" s="1"/>
  <c r="CE82" i="3" s="1"/>
  <c r="CF40" i="3"/>
  <c r="CC51" i="3"/>
  <c r="CC40" i="3"/>
  <c r="CC67" i="3"/>
  <c r="CC62" i="3"/>
  <c r="CG56" i="3"/>
  <c r="CG62" i="3" s="1"/>
  <c r="CG64" i="3" s="1"/>
  <c r="BS69" i="5" l="1"/>
  <c r="CC64" i="3"/>
  <c r="CG67" i="3"/>
  <c r="CC78" i="3"/>
  <c r="CC82" i="3" s="1"/>
  <c r="CG40" i="3"/>
  <c r="CG78" i="3" l="1"/>
  <c r="CG82" i="3" s="1"/>
  <c r="AZ5" i="8"/>
  <c r="AZ6" i="8"/>
  <c r="AZ7" i="8"/>
  <c r="AZ4" i="8"/>
  <c r="BY71" i="3" l="1"/>
  <c r="BN62" i="5"/>
  <c r="CA77" i="3" l="1"/>
  <c r="BZ79" i="3" l="1"/>
  <c r="BZ76" i="3"/>
  <c r="BZ75" i="3"/>
  <c r="BZ73" i="3"/>
  <c r="BZ72" i="3"/>
  <c r="BZ71" i="3"/>
  <c r="BZ70" i="3"/>
  <c r="BZ69" i="3"/>
  <c r="BZ68" i="3"/>
  <c r="BZ63" i="3"/>
  <c r="BZ60" i="3"/>
  <c r="BZ59" i="3"/>
  <c r="BZ58" i="3"/>
  <c r="BZ57" i="3"/>
  <c r="CB71" i="3" l="1"/>
  <c r="CA71" i="3"/>
  <c r="CA24" i="3"/>
  <c r="BN66" i="4" l="1"/>
  <c r="BN68" i="4" s="1"/>
  <c r="BN55" i="4"/>
  <c r="BN46" i="4"/>
  <c r="BN57" i="4" l="1"/>
  <c r="BN70" i="4" s="1"/>
  <c r="BN33" i="4"/>
  <c r="BY76" i="3"/>
  <c r="BW76" i="3"/>
  <c r="BY75" i="3" l="1"/>
  <c r="BY73" i="3"/>
  <c r="BY72" i="3"/>
  <c r="BY70" i="3"/>
  <c r="BY69" i="3"/>
  <c r="BY68" i="3"/>
  <c r="BX76" i="3"/>
  <c r="CB76" i="3" s="1"/>
  <c r="BX75" i="3"/>
  <c r="BX73" i="3"/>
  <c r="BX72" i="3"/>
  <c r="BX70" i="3"/>
  <c r="BX69" i="3"/>
  <c r="BX68" i="3"/>
  <c r="BM62" i="5"/>
  <c r="BM66" i="4" l="1"/>
  <c r="BM68" i="4" s="1"/>
  <c r="BM55" i="4"/>
  <c r="BM46" i="4"/>
  <c r="BM31" i="4"/>
  <c r="BM17" i="4"/>
  <c r="BY79" i="3"/>
  <c r="BX79" i="3"/>
  <c r="BY63" i="3"/>
  <c r="BX63" i="3"/>
  <c r="BY60" i="3"/>
  <c r="BY59" i="3"/>
  <c r="BY58" i="3"/>
  <c r="BY57" i="3"/>
  <c r="BX60" i="3"/>
  <c r="BX59" i="3"/>
  <c r="BX58" i="3"/>
  <c r="BX57" i="3"/>
  <c r="BM57" i="4" l="1"/>
  <c r="BM70" i="4" s="1"/>
  <c r="BM33" i="4"/>
  <c r="BL19" i="5" l="1"/>
  <c r="BL62" i="5" l="1"/>
  <c r="BL33" i="5"/>
  <c r="BL66" i="4"/>
  <c r="BL68" i="4" s="1"/>
  <c r="BL55" i="4"/>
  <c r="BL46" i="4"/>
  <c r="BL31" i="4"/>
  <c r="BL17" i="4"/>
  <c r="BN69" i="5"/>
  <c r="BE69" i="5"/>
  <c r="AZ69" i="5"/>
  <c r="AY69" i="5"/>
  <c r="AU69" i="5"/>
  <c r="AP69" i="5"/>
  <c r="AK69" i="5"/>
  <c r="AF69" i="5"/>
  <c r="AA69" i="5"/>
  <c r="V69" i="5"/>
  <c r="Q69" i="5"/>
  <c r="L69" i="5"/>
  <c r="G69" i="5"/>
  <c r="AX67" i="5"/>
  <c r="AX65" i="5"/>
  <c r="BK62" i="5"/>
  <c r="BJ62" i="5"/>
  <c r="BI62" i="5"/>
  <c r="BH62" i="5"/>
  <c r="BG62" i="5"/>
  <c r="BF62" i="5"/>
  <c r="BE62" i="5"/>
  <c r="BD62" i="5"/>
  <c r="BC62" i="5"/>
  <c r="BB62" i="5"/>
  <c r="BA62" i="5"/>
  <c r="AZ62" i="5"/>
  <c r="AY62" i="5"/>
  <c r="AV62" i="5"/>
  <c r="AU62" i="5"/>
  <c r="AP62" i="5"/>
  <c r="AK62" i="5"/>
  <c r="AF62" i="5"/>
  <c r="AA62" i="5"/>
  <c r="V62" i="5"/>
  <c r="Q62" i="5"/>
  <c r="L62" i="5"/>
  <c r="G62" i="5"/>
  <c r="E62" i="5"/>
  <c r="D62" i="5"/>
  <c r="C62" i="5"/>
  <c r="AX61" i="5"/>
  <c r="AX60" i="5"/>
  <c r="AX58" i="5"/>
  <c r="AX56" i="5"/>
  <c r="AX54" i="5"/>
  <c r="F54" i="5"/>
  <c r="F62" i="5" s="1"/>
  <c r="AX53" i="5"/>
  <c r="BN51" i="5"/>
  <c r="BM51" i="5"/>
  <c r="BL51" i="5"/>
  <c r="BK51" i="5"/>
  <c r="BJ51" i="5"/>
  <c r="BI51" i="5"/>
  <c r="BH51" i="5"/>
  <c r="BG51" i="5"/>
  <c r="BF51" i="5"/>
  <c r="BE51" i="5"/>
  <c r="BD51" i="5"/>
  <c r="BC51" i="5"/>
  <c r="BB51" i="5"/>
  <c r="BA51" i="5"/>
  <c r="AZ51" i="5"/>
  <c r="AY51" i="5"/>
  <c r="AX51" i="5"/>
  <c r="AV51" i="5"/>
  <c r="AU51" i="5"/>
  <c r="AP51" i="5"/>
  <c r="AK51" i="5"/>
  <c r="AF51" i="5"/>
  <c r="AA51" i="5"/>
  <c r="V51" i="5"/>
  <c r="Q51" i="5"/>
  <c r="L51" i="5"/>
  <c r="G51" i="5"/>
  <c r="E51" i="5"/>
  <c r="D51" i="5"/>
  <c r="C51" i="5"/>
  <c r="F36" i="5"/>
  <c r="F51" i="5" s="1"/>
  <c r="BN19" i="5"/>
  <c r="BN33" i="5" s="1"/>
  <c r="BM19" i="5"/>
  <c r="BM33" i="5" s="1"/>
  <c r="BK19" i="5"/>
  <c r="BK33" i="5" s="1"/>
  <c r="BJ19" i="5"/>
  <c r="BJ33" i="5" s="1"/>
  <c r="BI19" i="5"/>
  <c r="BI33" i="5" s="1"/>
  <c r="BH19" i="5"/>
  <c r="BH33" i="5" s="1"/>
  <c r="BG19" i="5"/>
  <c r="BG33" i="5" s="1"/>
  <c r="BF19" i="5"/>
  <c r="BF33" i="5" s="1"/>
  <c r="BE19" i="5"/>
  <c r="BE33" i="5" s="1"/>
  <c r="BD19" i="5"/>
  <c r="BD33" i="5" s="1"/>
  <c r="BC19" i="5"/>
  <c r="BC33" i="5" s="1"/>
  <c r="AZ19" i="5"/>
  <c r="AZ33" i="5" s="1"/>
  <c r="AY19" i="5"/>
  <c r="AY33" i="5" s="1"/>
  <c r="AV19" i="5"/>
  <c r="AV33" i="5" s="1"/>
  <c r="AU19" i="5"/>
  <c r="AU33" i="5" s="1"/>
  <c r="AP19" i="5"/>
  <c r="AP33" i="5" s="1"/>
  <c r="AK19" i="5"/>
  <c r="AK33" i="5" s="1"/>
  <c r="AF19" i="5"/>
  <c r="AF33" i="5" s="1"/>
  <c r="AA19" i="5"/>
  <c r="AA33" i="5" s="1"/>
  <c r="V19" i="5"/>
  <c r="V33" i="5" s="1"/>
  <c r="Q19" i="5"/>
  <c r="Q33" i="5" s="1"/>
  <c r="P19" i="5"/>
  <c r="O19" i="5"/>
  <c r="N19" i="5"/>
  <c r="M19" i="5"/>
  <c r="L19" i="5"/>
  <c r="L33" i="5" s="1"/>
  <c r="K19" i="5"/>
  <c r="J19" i="5"/>
  <c r="I19" i="5"/>
  <c r="H19" i="5"/>
  <c r="G19" i="5"/>
  <c r="G33" i="5" s="1"/>
  <c r="F19" i="5"/>
  <c r="E19" i="5"/>
  <c r="D19" i="5"/>
  <c r="C19" i="5"/>
  <c r="BB5" i="5"/>
  <c r="BB19" i="5" s="1"/>
  <c r="BB33" i="5" s="1"/>
  <c r="BA5" i="5"/>
  <c r="BA19" i="5" s="1"/>
  <c r="BA33" i="5" s="1"/>
  <c r="AX5" i="5"/>
  <c r="AX19" i="5" s="1"/>
  <c r="AX33" i="5" s="1"/>
  <c r="Z68" i="4"/>
  <c r="Y68" i="4"/>
  <c r="X68" i="4"/>
  <c r="W68" i="4"/>
  <c r="U68" i="4"/>
  <c r="T68" i="4"/>
  <c r="S68" i="4"/>
  <c r="R68" i="4"/>
  <c r="P68" i="4"/>
  <c r="O68" i="4"/>
  <c r="N68" i="4"/>
  <c r="M68" i="4"/>
  <c r="K68" i="4"/>
  <c r="BK66" i="4"/>
  <c r="BK68" i="4" s="1"/>
  <c r="BJ66" i="4"/>
  <c r="BJ68" i="4" s="1"/>
  <c r="BI66" i="4"/>
  <c r="BI68" i="4" s="1"/>
  <c r="BH66" i="4"/>
  <c r="BH68" i="4" s="1"/>
  <c r="BG66" i="4"/>
  <c r="BG68" i="4" s="1"/>
  <c r="BF66" i="4"/>
  <c r="BF68" i="4" s="1"/>
  <c r="BE66" i="4"/>
  <c r="BE68" i="4" s="1"/>
  <c r="BD66" i="4"/>
  <c r="BD68" i="4" s="1"/>
  <c r="BC66" i="4"/>
  <c r="BC68" i="4" s="1"/>
  <c r="BB66" i="4"/>
  <c r="BB68" i="4" s="1"/>
  <c r="AZ66" i="4"/>
  <c r="AZ68" i="4" s="1"/>
  <c r="AY66" i="4"/>
  <c r="AY68" i="4" s="1"/>
  <c r="AX66" i="4"/>
  <c r="AX68" i="4" s="1"/>
  <c r="AV66" i="4"/>
  <c r="AV68" i="4" s="1"/>
  <c r="AU66" i="4"/>
  <c r="AU68" i="4" s="1"/>
  <c r="AP66" i="4"/>
  <c r="AP68" i="4" s="1"/>
  <c r="AK66" i="4"/>
  <c r="AK68" i="4" s="1"/>
  <c r="AG66" i="4"/>
  <c r="AG68" i="4" s="1"/>
  <c r="AF66" i="4"/>
  <c r="AF68" i="4" s="1"/>
  <c r="AD66" i="4"/>
  <c r="AD68" i="4" s="1"/>
  <c r="AC66" i="4"/>
  <c r="AC68" i="4" s="1"/>
  <c r="AB66" i="4"/>
  <c r="AB68" i="4" s="1"/>
  <c r="AA66" i="4"/>
  <c r="AA68" i="4" s="1"/>
  <c r="Z66" i="4"/>
  <c r="Y66" i="4"/>
  <c r="X66" i="4"/>
  <c r="W66" i="4"/>
  <c r="V66" i="4"/>
  <c r="V68" i="4" s="1"/>
  <c r="U66" i="4"/>
  <c r="T66" i="4"/>
  <c r="S66" i="4"/>
  <c r="R66" i="4"/>
  <c r="Q66" i="4"/>
  <c r="Q68" i="4" s="1"/>
  <c r="P66" i="4"/>
  <c r="O66" i="4"/>
  <c r="N66" i="4"/>
  <c r="M66" i="4"/>
  <c r="L66" i="4"/>
  <c r="L68" i="4" s="1"/>
  <c r="K66" i="4"/>
  <c r="G66" i="4"/>
  <c r="G68" i="4" s="1"/>
  <c r="BA65" i="4"/>
  <c r="BA63" i="4"/>
  <c r="BA62" i="4"/>
  <c r="AT62" i="4"/>
  <c r="AT66" i="4" s="1"/>
  <c r="AT68" i="4" s="1"/>
  <c r="AS62" i="4"/>
  <c r="AS66" i="4" s="1"/>
  <c r="AS68" i="4" s="1"/>
  <c r="AR62" i="4"/>
  <c r="AR66" i="4" s="1"/>
  <c r="AR68" i="4" s="1"/>
  <c r="AQ62" i="4"/>
  <c r="AQ66" i="4" s="1"/>
  <c r="AQ68" i="4" s="1"/>
  <c r="AO62" i="4"/>
  <c r="AO66" i="4" s="1"/>
  <c r="AO68" i="4" s="1"/>
  <c r="AM62" i="4"/>
  <c r="AM66" i="4" s="1"/>
  <c r="AM68" i="4" s="1"/>
  <c r="AL62" i="4"/>
  <c r="AL66" i="4" s="1"/>
  <c r="AL68" i="4" s="1"/>
  <c r="AJ62" i="4"/>
  <c r="AJ66" i="4" s="1"/>
  <c r="AJ68" i="4" s="1"/>
  <c r="AI62" i="4"/>
  <c r="AI66" i="4" s="1"/>
  <c r="AI68" i="4" s="1"/>
  <c r="AH62" i="4"/>
  <c r="AH66" i="4" s="1"/>
  <c r="AH68" i="4" s="1"/>
  <c r="AE62" i="4"/>
  <c r="AE66" i="4" s="1"/>
  <c r="AE68" i="4" s="1"/>
  <c r="BA60" i="4"/>
  <c r="J60" i="4"/>
  <c r="J68" i="4" s="1"/>
  <c r="I60" i="4"/>
  <c r="I66" i="4" s="1"/>
  <c r="H60" i="4"/>
  <c r="H68" i="4" s="1"/>
  <c r="F60" i="4"/>
  <c r="F68" i="4" s="1"/>
  <c r="E60" i="4"/>
  <c r="E68" i="4" s="1"/>
  <c r="D60" i="4"/>
  <c r="D68" i="4" s="1"/>
  <c r="C60" i="4"/>
  <c r="C66" i="4" s="1"/>
  <c r="BK55" i="4"/>
  <c r="BJ55" i="4"/>
  <c r="BI55" i="4"/>
  <c r="BH55" i="4"/>
  <c r="BG55" i="4"/>
  <c r="BF55" i="4"/>
  <c r="BE55" i="4"/>
  <c r="BD55" i="4"/>
  <c r="BC55" i="4"/>
  <c r="BB55" i="4"/>
  <c r="BA55" i="4"/>
  <c r="AZ55" i="4"/>
  <c r="AY55" i="4"/>
  <c r="AX55" i="4"/>
  <c r="AV55" i="4"/>
  <c r="AU55" i="4"/>
  <c r="AT55" i="4"/>
  <c r="AS55" i="4"/>
  <c r="AR55" i="4"/>
  <c r="AQ55" i="4"/>
  <c r="AP55" i="4"/>
  <c r="AO55" i="4"/>
  <c r="AM55" i="4"/>
  <c r="AL55" i="4"/>
  <c r="AK55" i="4"/>
  <c r="AJ55" i="4"/>
  <c r="AI55" i="4"/>
  <c r="AH55" i="4"/>
  <c r="AG55" i="4"/>
  <c r="AF55" i="4"/>
  <c r="AE55" i="4"/>
  <c r="AD55" i="4"/>
  <c r="AC55" i="4"/>
  <c r="AB55" i="4"/>
  <c r="AA55" i="4"/>
  <c r="Z55" i="4"/>
  <c r="Y55" i="4"/>
  <c r="X55" i="4"/>
  <c r="W55" i="4"/>
  <c r="V55" i="4"/>
  <c r="U55" i="4"/>
  <c r="T55" i="4"/>
  <c r="S55" i="4"/>
  <c r="R55" i="4"/>
  <c r="Q55" i="4"/>
  <c r="P55" i="4"/>
  <c r="O55" i="4"/>
  <c r="N55" i="4"/>
  <c r="M55" i="4"/>
  <c r="L55" i="4"/>
  <c r="K55" i="4"/>
  <c r="J55" i="4"/>
  <c r="I55" i="4"/>
  <c r="H55" i="4"/>
  <c r="G55" i="4"/>
  <c r="F55" i="4"/>
  <c r="E55" i="4"/>
  <c r="D55" i="4"/>
  <c r="C55" i="4"/>
  <c r="BK46" i="4"/>
  <c r="BJ46" i="4"/>
  <c r="BI46" i="4"/>
  <c r="BH46" i="4"/>
  <c r="BG46" i="4"/>
  <c r="BF46" i="4"/>
  <c r="BE46" i="4"/>
  <c r="BD46" i="4"/>
  <c r="BD57" i="4" s="1"/>
  <c r="BC46" i="4"/>
  <c r="BB46" i="4"/>
  <c r="BA46" i="4"/>
  <c r="AZ46" i="4"/>
  <c r="AY46" i="4"/>
  <c r="AX46" i="4"/>
  <c r="AV46" i="4"/>
  <c r="AU46" i="4"/>
  <c r="AT46" i="4"/>
  <c r="AS46" i="4"/>
  <c r="AR46" i="4"/>
  <c r="AQ46" i="4"/>
  <c r="AP46" i="4"/>
  <c r="AO46" i="4"/>
  <c r="AM46" i="4"/>
  <c r="AL46" i="4"/>
  <c r="AK46" i="4"/>
  <c r="AJ46" i="4"/>
  <c r="AI46" i="4"/>
  <c r="AG46" i="4"/>
  <c r="AF46" i="4"/>
  <c r="AE46" i="4"/>
  <c r="AD46" i="4"/>
  <c r="AB46" i="4"/>
  <c r="AA46" i="4"/>
  <c r="Z46" i="4"/>
  <c r="Y46" i="4"/>
  <c r="X46" i="4"/>
  <c r="W46" i="4"/>
  <c r="V46" i="4"/>
  <c r="T46" i="4"/>
  <c r="S46" i="4"/>
  <c r="S57" i="4" s="1"/>
  <c r="R46" i="4"/>
  <c r="Q46" i="4"/>
  <c r="P46" i="4"/>
  <c r="O46" i="4"/>
  <c r="N46" i="4"/>
  <c r="M46" i="4"/>
  <c r="L46" i="4"/>
  <c r="K46" i="4"/>
  <c r="K57" i="4" s="1"/>
  <c r="J46" i="4"/>
  <c r="I46" i="4"/>
  <c r="H46" i="4"/>
  <c r="G46" i="4"/>
  <c r="F46" i="4"/>
  <c r="E46" i="4"/>
  <c r="D46" i="4"/>
  <c r="C46" i="4"/>
  <c r="AH39" i="4"/>
  <c r="AH46" i="4" s="1"/>
  <c r="AC39" i="4"/>
  <c r="AC46" i="4" s="1"/>
  <c r="AC57" i="4" s="1"/>
  <c r="U39" i="4"/>
  <c r="U46" i="4" s="1"/>
  <c r="BK31" i="4"/>
  <c r="BH31" i="4"/>
  <c r="BG31" i="4"/>
  <c r="BF31" i="4"/>
  <c r="BC31" i="4"/>
  <c r="BB31" i="4"/>
  <c r="BA31" i="4"/>
  <c r="AX31" i="4"/>
  <c r="AV31" i="4"/>
  <c r="AU31" i="4"/>
  <c r="AT31" i="4"/>
  <c r="AS31" i="4"/>
  <c r="AR31" i="4"/>
  <c r="AQ31" i="4"/>
  <c r="AP31" i="4"/>
  <c r="AO31" i="4"/>
  <c r="AM31" i="4"/>
  <c r="AL31" i="4"/>
  <c r="AK31" i="4"/>
  <c r="AJ31" i="4"/>
  <c r="AI31" i="4"/>
  <c r="AH31" i="4"/>
  <c r="AG31" i="4"/>
  <c r="AF31" i="4"/>
  <c r="AE31" i="4"/>
  <c r="AD31" i="4"/>
  <c r="AC31" i="4"/>
  <c r="AB31" i="4"/>
  <c r="AA31" i="4"/>
  <c r="Z31" i="4"/>
  <c r="Y31" i="4"/>
  <c r="X31" i="4"/>
  <c r="W31" i="4"/>
  <c r="V31" i="4"/>
  <c r="U31" i="4"/>
  <c r="T31" i="4"/>
  <c r="S31" i="4"/>
  <c r="R31" i="4"/>
  <c r="Q31" i="4"/>
  <c r="P31" i="4"/>
  <c r="O31" i="4"/>
  <c r="N31" i="4"/>
  <c r="M31" i="4"/>
  <c r="L31" i="4"/>
  <c r="K31" i="4"/>
  <c r="J31" i="4"/>
  <c r="I31" i="4"/>
  <c r="H31" i="4"/>
  <c r="G31" i="4"/>
  <c r="F31" i="4"/>
  <c r="E31" i="4"/>
  <c r="D31" i="4"/>
  <c r="C31" i="4"/>
  <c r="BK17" i="4"/>
  <c r="BH17" i="4"/>
  <c r="BG17" i="4"/>
  <c r="BF17" i="4"/>
  <c r="BE33" i="4"/>
  <c r="BC17" i="4"/>
  <c r="BB17" i="4"/>
  <c r="BA17" i="4"/>
  <c r="AY33" i="4"/>
  <c r="AX17" i="4"/>
  <c r="AV17" i="4"/>
  <c r="AT17" i="4"/>
  <c r="AS17" i="4"/>
  <c r="AP17" i="4"/>
  <c r="AO17" i="4"/>
  <c r="AK17" i="4"/>
  <c r="AH17" i="4"/>
  <c r="AG17" i="4"/>
  <c r="AF17" i="4"/>
  <c r="AE17" i="4"/>
  <c r="AD17" i="4"/>
  <c r="AC17" i="4"/>
  <c r="AB17" i="4"/>
  <c r="AA17" i="4"/>
  <c r="Z17" i="4"/>
  <c r="X17" i="4"/>
  <c r="W17" i="4"/>
  <c r="V17" i="4"/>
  <c r="T17" i="4"/>
  <c r="S17" i="4"/>
  <c r="R17" i="4"/>
  <c r="Q17" i="4"/>
  <c r="P17" i="4"/>
  <c r="M17" i="4"/>
  <c r="L17" i="4"/>
  <c r="K17" i="4"/>
  <c r="I17" i="4"/>
  <c r="H17" i="4"/>
  <c r="G17" i="4"/>
  <c r="F17" i="4"/>
  <c r="F33" i="4" s="1"/>
  <c r="E17" i="4"/>
  <c r="AJ14" i="4"/>
  <c r="AJ17" i="4" s="1"/>
  <c r="J14" i="4"/>
  <c r="J17" i="4" s="1"/>
  <c r="AL7" i="4"/>
  <c r="AL17" i="4" s="1"/>
  <c r="AI7" i="4"/>
  <c r="AI17" i="4" s="1"/>
  <c r="Y7" i="4"/>
  <c r="Y17" i="4" s="1"/>
  <c r="U7" i="4"/>
  <c r="U17" i="4" s="1"/>
  <c r="AR6" i="4"/>
  <c r="AR17" i="4" s="1"/>
  <c r="AQ6" i="4"/>
  <c r="AQ17" i="4" s="1"/>
  <c r="AM6" i="4"/>
  <c r="AM17" i="4" s="1"/>
  <c r="AM33" i="4" s="1"/>
  <c r="O6" i="4"/>
  <c r="O17" i="4" s="1"/>
  <c r="N6" i="4"/>
  <c r="N17" i="4" s="1"/>
  <c r="AT84" i="3"/>
  <c r="AT86" i="3" s="1"/>
  <c r="AS84" i="3"/>
  <c r="AS86" i="3" s="1"/>
  <c r="AD84" i="3"/>
  <c r="AD86" i="3" s="1"/>
  <c r="CA81" i="3"/>
  <c r="CB81" i="3" s="1"/>
  <c r="BU81" i="3"/>
  <c r="CA80" i="3"/>
  <c r="CB80" i="3" s="1"/>
  <c r="BS80" i="3"/>
  <c r="BU80" i="3" s="1"/>
  <c r="BW79" i="3"/>
  <c r="CA79" i="3" s="1"/>
  <c r="CB79" i="3" s="1"/>
  <c r="BV79" i="3"/>
  <c r="BT79" i="3"/>
  <c r="BS79" i="3"/>
  <c r="BR79" i="3"/>
  <c r="BQ79" i="3"/>
  <c r="BP79" i="3"/>
  <c r="BN79" i="3"/>
  <c r="BM79" i="3"/>
  <c r="BL79" i="3"/>
  <c r="BK79" i="3"/>
  <c r="BJ79" i="3"/>
  <c r="BG79" i="3"/>
  <c r="BI79" i="3" s="1"/>
  <c r="BD79" i="3"/>
  <c r="AX79" i="3"/>
  <c r="AR79" i="3"/>
  <c r="AL79" i="3"/>
  <c r="AF79" i="3"/>
  <c r="Z79" i="3"/>
  <c r="T79" i="3"/>
  <c r="N79" i="3"/>
  <c r="H79" i="3"/>
  <c r="BH78" i="3"/>
  <c r="BH82" i="3" s="1"/>
  <c r="BU77" i="3"/>
  <c r="BV77" i="3" s="1"/>
  <c r="BP77" i="3"/>
  <c r="BJ77" i="3"/>
  <c r="BD77" i="3"/>
  <c r="AX77" i="3"/>
  <c r="AR77" i="3"/>
  <c r="AL77" i="3"/>
  <c r="AF77" i="3"/>
  <c r="Z77" i="3"/>
  <c r="T77" i="3"/>
  <c r="N77" i="3"/>
  <c r="H77" i="3"/>
  <c r="CA76" i="3"/>
  <c r="BV76" i="3"/>
  <c r="BT76" i="3"/>
  <c r="BS76" i="3"/>
  <c r="BR76" i="3"/>
  <c r="BQ76" i="3"/>
  <c r="BN76" i="3"/>
  <c r="BL76" i="3"/>
  <c r="BK76" i="3"/>
  <c r="BW75" i="3"/>
  <c r="BV75" i="3"/>
  <c r="BT75" i="3"/>
  <c r="BS75" i="3"/>
  <c r="BR75" i="3"/>
  <c r="BQ75" i="3"/>
  <c r="BP75" i="3"/>
  <c r="BN75" i="3"/>
  <c r="BL75" i="3"/>
  <c r="BK75" i="3"/>
  <c r="BJ75" i="3"/>
  <c r="BD75" i="3"/>
  <c r="AX75" i="3"/>
  <c r="AR75" i="3"/>
  <c r="AL75" i="3"/>
  <c r="AF75" i="3"/>
  <c r="Z75" i="3"/>
  <c r="T75" i="3"/>
  <c r="N75" i="3"/>
  <c r="H75" i="3"/>
  <c r="CA74" i="3"/>
  <c r="BV74" i="3"/>
  <c r="BU74" i="3"/>
  <c r="BP74" i="3"/>
  <c r="BJ74" i="3"/>
  <c r="BD74" i="3"/>
  <c r="AX74" i="3"/>
  <c r="AR74" i="3"/>
  <c r="AL74" i="3"/>
  <c r="AF74" i="3"/>
  <c r="Z74" i="3"/>
  <c r="T74" i="3"/>
  <c r="N74" i="3"/>
  <c r="H74" i="3"/>
  <c r="BW73" i="3"/>
  <c r="BV73" i="3"/>
  <c r="BT73" i="3"/>
  <c r="BS73" i="3"/>
  <c r="BR73" i="3"/>
  <c r="BQ73" i="3"/>
  <c r="BP73" i="3"/>
  <c r="BN73" i="3"/>
  <c r="BL73" i="3"/>
  <c r="BK73" i="3"/>
  <c r="BJ73" i="3"/>
  <c r="BD73" i="3"/>
  <c r="AX73" i="3"/>
  <c r="AR73" i="3"/>
  <c r="AL73" i="3"/>
  <c r="AF73" i="3"/>
  <c r="Z73" i="3"/>
  <c r="T73" i="3"/>
  <c r="N73" i="3"/>
  <c r="H73" i="3"/>
  <c r="BW72" i="3"/>
  <c r="BV72" i="3"/>
  <c r="BT72" i="3"/>
  <c r="BS72" i="3"/>
  <c r="BR72" i="3"/>
  <c r="BQ72" i="3"/>
  <c r="BP72" i="3"/>
  <c r="BN72" i="3"/>
  <c r="BL72" i="3"/>
  <c r="BK72" i="3"/>
  <c r="BJ72" i="3"/>
  <c r="BD72" i="3"/>
  <c r="AX72" i="3"/>
  <c r="AR72" i="3"/>
  <c r="AL72" i="3"/>
  <c r="AF72" i="3"/>
  <c r="Z72" i="3"/>
  <c r="T72" i="3"/>
  <c r="N72" i="3"/>
  <c r="H72" i="3"/>
  <c r="BW70" i="3"/>
  <c r="BV70" i="3"/>
  <c r="BT70" i="3"/>
  <c r="BS70" i="3"/>
  <c r="BR70" i="3"/>
  <c r="BQ70" i="3"/>
  <c r="BP70" i="3"/>
  <c r="BN70" i="3"/>
  <c r="BL70" i="3"/>
  <c r="BK70" i="3"/>
  <c r="BJ70" i="3"/>
  <c r="BD70" i="3"/>
  <c r="AX70" i="3"/>
  <c r="AR70" i="3"/>
  <c r="AL70" i="3"/>
  <c r="AF70" i="3"/>
  <c r="Z70" i="3"/>
  <c r="T70" i="3"/>
  <c r="N70" i="3"/>
  <c r="H70" i="3"/>
  <c r="BW69" i="3"/>
  <c r="BV69" i="3"/>
  <c r="BT69" i="3"/>
  <c r="BS69" i="3"/>
  <c r="BR69" i="3"/>
  <c r="BQ69" i="3"/>
  <c r="BP69" i="3"/>
  <c r="BN69" i="3"/>
  <c r="BL69" i="3"/>
  <c r="BK69" i="3"/>
  <c r="BJ69" i="3"/>
  <c r="BD69" i="3"/>
  <c r="AX69" i="3"/>
  <c r="AR69" i="3"/>
  <c r="AL69" i="3"/>
  <c r="AF69" i="3"/>
  <c r="Z69" i="3"/>
  <c r="T69" i="3"/>
  <c r="N69" i="3"/>
  <c r="H69" i="3"/>
  <c r="BW68" i="3"/>
  <c r="BV68" i="3"/>
  <c r="BT68" i="3"/>
  <c r="BS68" i="3"/>
  <c r="BR68" i="3"/>
  <c r="BQ68" i="3"/>
  <c r="BP68" i="3"/>
  <c r="BN68" i="3"/>
  <c r="BL68" i="3"/>
  <c r="BK68" i="3"/>
  <c r="BJ68" i="3"/>
  <c r="BD68" i="3"/>
  <c r="AX68" i="3"/>
  <c r="AR68" i="3"/>
  <c r="AL68" i="3"/>
  <c r="AF68" i="3"/>
  <c r="Z68" i="3"/>
  <c r="T68" i="3"/>
  <c r="N68" i="3"/>
  <c r="H68" i="3"/>
  <c r="BU66" i="3"/>
  <c r="BS66" i="3"/>
  <c r="BJ66" i="3"/>
  <c r="BW63" i="3"/>
  <c r="BV63" i="3"/>
  <c r="BT63" i="3"/>
  <c r="BS63" i="3"/>
  <c r="BR63" i="3"/>
  <c r="BQ63" i="3"/>
  <c r="BP63" i="3"/>
  <c r="BN63" i="3"/>
  <c r="BL63" i="3"/>
  <c r="BK63" i="3"/>
  <c r="BJ63" i="3"/>
  <c r="BG63" i="3"/>
  <c r="BI63" i="3" s="1"/>
  <c r="BD63" i="3"/>
  <c r="AX63" i="3"/>
  <c r="AR63" i="3"/>
  <c r="AL63" i="3"/>
  <c r="AF63" i="3"/>
  <c r="Z63" i="3"/>
  <c r="T63" i="3"/>
  <c r="N63" i="3"/>
  <c r="H63" i="3"/>
  <c r="BH62" i="3"/>
  <c r="BH64" i="3" s="1"/>
  <c r="BW60" i="3"/>
  <c r="BV60" i="3"/>
  <c r="BT60" i="3"/>
  <c r="BS60" i="3"/>
  <c r="BR60" i="3"/>
  <c r="BQ60" i="3"/>
  <c r="BP60" i="3"/>
  <c r="BN60" i="3"/>
  <c r="BL60" i="3"/>
  <c r="BK60" i="3"/>
  <c r="BJ60" i="3"/>
  <c r="BG60" i="3"/>
  <c r="BI60" i="3" s="1"/>
  <c r="BD60" i="3"/>
  <c r="AX60" i="3"/>
  <c r="AR60" i="3"/>
  <c r="AL60" i="3"/>
  <c r="AF60" i="3"/>
  <c r="Z60" i="3"/>
  <c r="T60" i="3"/>
  <c r="N60" i="3"/>
  <c r="H60" i="3"/>
  <c r="BW59" i="3"/>
  <c r="BV59" i="3"/>
  <c r="BT59" i="3"/>
  <c r="BS59" i="3"/>
  <c r="BR59" i="3"/>
  <c r="BQ59" i="3"/>
  <c r="BP59" i="3"/>
  <c r="BN59" i="3"/>
  <c r="BL59" i="3"/>
  <c r="BK59" i="3"/>
  <c r="BJ59" i="3"/>
  <c r="BG59" i="3"/>
  <c r="BI59" i="3" s="1"/>
  <c r="BD59" i="3"/>
  <c r="AX59" i="3"/>
  <c r="AR59" i="3"/>
  <c r="AL59" i="3"/>
  <c r="AF59" i="3"/>
  <c r="Z59" i="3"/>
  <c r="T59" i="3"/>
  <c r="N59" i="3"/>
  <c r="H59" i="3"/>
  <c r="BW58" i="3"/>
  <c r="BV58" i="3"/>
  <c r="BT58" i="3"/>
  <c r="BS58" i="3"/>
  <c r="BR58" i="3"/>
  <c r="BQ58" i="3"/>
  <c r="BP58" i="3"/>
  <c r="BN58" i="3"/>
  <c r="BL58" i="3"/>
  <c r="BK58" i="3"/>
  <c r="BJ58" i="3"/>
  <c r="BG58" i="3"/>
  <c r="BI58" i="3" s="1"/>
  <c r="BD58" i="3"/>
  <c r="AX58" i="3"/>
  <c r="AR58" i="3"/>
  <c r="AL58" i="3"/>
  <c r="AF58" i="3"/>
  <c r="Z58" i="3"/>
  <c r="T58" i="3"/>
  <c r="N58" i="3"/>
  <c r="H58" i="3"/>
  <c r="BW57" i="3"/>
  <c r="BV57" i="3"/>
  <c r="BT57" i="3"/>
  <c r="BS57" i="3"/>
  <c r="BR57" i="3"/>
  <c r="BQ57" i="3"/>
  <c r="BP57" i="3"/>
  <c r="BN57" i="3"/>
  <c r="BL57" i="3"/>
  <c r="BK57" i="3"/>
  <c r="BJ57" i="3"/>
  <c r="BG57" i="3"/>
  <c r="BI57" i="3" s="1"/>
  <c r="BD57" i="3"/>
  <c r="AX57" i="3"/>
  <c r="AR57" i="3"/>
  <c r="AL57" i="3"/>
  <c r="AF57" i="3"/>
  <c r="Z57" i="3"/>
  <c r="T57" i="3"/>
  <c r="N57" i="3"/>
  <c r="H57" i="3"/>
  <c r="CA55" i="3"/>
  <c r="CA66" i="3" s="1"/>
  <c r="BZ55" i="3"/>
  <c r="BZ66" i="3" s="1"/>
  <c r="BY55" i="3"/>
  <c r="BY66" i="3" s="1"/>
  <c r="BX55" i="3"/>
  <c r="BX66" i="3" s="1"/>
  <c r="BW55" i="3"/>
  <c r="BW66" i="3" s="1"/>
  <c r="BS55" i="3"/>
  <c r="BO55" i="3"/>
  <c r="BO66" i="3" s="1"/>
  <c r="BW53" i="3"/>
  <c r="BT53" i="3"/>
  <c r="BL53" i="3"/>
  <c r="BI53" i="3"/>
  <c r="BJ53" i="3" s="1"/>
  <c r="BU52" i="3"/>
  <c r="BO52" i="3"/>
  <c r="BL52" i="3"/>
  <c r="BI52" i="3"/>
  <c r="BC51" i="3"/>
  <c r="BB51" i="3"/>
  <c r="BA51" i="3"/>
  <c r="AZ51" i="3"/>
  <c r="AY51" i="3"/>
  <c r="AW51" i="3"/>
  <c r="AV51" i="3"/>
  <c r="AU51" i="3"/>
  <c r="AT51" i="3"/>
  <c r="AS51" i="3"/>
  <c r="AQ51" i="3"/>
  <c r="AP51" i="3"/>
  <c r="AO51" i="3"/>
  <c r="AN51" i="3"/>
  <c r="AM51" i="3"/>
  <c r="AK51" i="3"/>
  <c r="AJ51" i="3"/>
  <c r="AI51" i="3"/>
  <c r="AH51" i="3"/>
  <c r="AG51" i="3"/>
  <c r="AE51" i="3"/>
  <c r="AD51" i="3"/>
  <c r="AC51" i="3"/>
  <c r="AB51" i="3"/>
  <c r="AA51" i="3"/>
  <c r="Y51" i="3"/>
  <c r="X51" i="3"/>
  <c r="W51" i="3"/>
  <c r="V51" i="3"/>
  <c r="U51" i="3"/>
  <c r="S51" i="3"/>
  <c r="R51" i="3"/>
  <c r="Q51" i="3"/>
  <c r="P51" i="3"/>
  <c r="O51" i="3"/>
  <c r="M51" i="3"/>
  <c r="L51" i="3"/>
  <c r="K51" i="3"/>
  <c r="J51" i="3"/>
  <c r="I51" i="3"/>
  <c r="G51" i="3"/>
  <c r="F51" i="3"/>
  <c r="E51" i="3"/>
  <c r="D51" i="3"/>
  <c r="C51" i="3"/>
  <c r="BZ49" i="3"/>
  <c r="BY49" i="3"/>
  <c r="BX49" i="3"/>
  <c r="BW49" i="3"/>
  <c r="BV49" i="3"/>
  <c r="BT49" i="3"/>
  <c r="BS49" i="3"/>
  <c r="BR49" i="3"/>
  <c r="BQ49" i="3"/>
  <c r="BP49" i="3"/>
  <c r="BO49" i="3"/>
  <c r="BN49" i="3"/>
  <c r="BM49" i="3"/>
  <c r="BL49" i="3"/>
  <c r="BK49" i="3"/>
  <c r="BJ49" i="3"/>
  <c r="BI49" i="3"/>
  <c r="BH49" i="3"/>
  <c r="BG49" i="3"/>
  <c r="BF49" i="3"/>
  <c r="BE49" i="3"/>
  <c r="CA48" i="3"/>
  <c r="BU48" i="3"/>
  <c r="CA47" i="3"/>
  <c r="CA49" i="3" s="1"/>
  <c r="BU47" i="3"/>
  <c r="BZ44" i="3"/>
  <c r="BY44" i="3"/>
  <c r="BX44" i="3"/>
  <c r="BW44" i="3"/>
  <c r="BV44" i="3"/>
  <c r="BT44" i="3"/>
  <c r="BS44" i="3"/>
  <c r="BR44" i="3"/>
  <c r="BQ44" i="3"/>
  <c r="BP44" i="3"/>
  <c r="BO44" i="3"/>
  <c r="BN44" i="3"/>
  <c r="BM44" i="3"/>
  <c r="BL44" i="3"/>
  <c r="BK44" i="3"/>
  <c r="BJ44" i="3"/>
  <c r="BI44" i="3"/>
  <c r="BH44" i="3"/>
  <c r="BG44" i="3"/>
  <c r="BF44" i="3"/>
  <c r="BE44" i="3"/>
  <c r="CA43" i="3"/>
  <c r="BU43" i="3"/>
  <c r="CA42" i="3"/>
  <c r="BU42" i="3"/>
  <c r="BF40" i="3"/>
  <c r="BE40" i="3"/>
  <c r="CA39" i="3"/>
  <c r="BU39" i="3"/>
  <c r="CA38" i="3"/>
  <c r="BU38" i="3"/>
  <c r="CA35" i="3"/>
  <c r="BU35" i="3"/>
  <c r="BO35" i="3"/>
  <c r="BH35" i="3"/>
  <c r="BI35" i="3" s="1"/>
  <c r="CA34" i="3"/>
  <c r="BU34" i="3"/>
  <c r="BO34" i="3"/>
  <c r="BH34" i="3"/>
  <c r="BI34" i="3" s="1"/>
  <c r="CA33" i="3"/>
  <c r="BU33" i="3"/>
  <c r="BO33" i="3"/>
  <c r="BI33" i="3"/>
  <c r="CA32" i="3"/>
  <c r="BU32" i="3"/>
  <c r="BO32" i="3"/>
  <c r="BH32" i="3"/>
  <c r="BI32" i="3" s="1"/>
  <c r="CA31" i="3"/>
  <c r="BU31" i="3"/>
  <c r="BO31" i="3"/>
  <c r="BH31" i="3"/>
  <c r="BI31" i="3" s="1"/>
  <c r="CA30" i="3"/>
  <c r="BU30" i="3"/>
  <c r="BO30" i="3"/>
  <c r="BH30" i="3"/>
  <c r="BI30" i="3" s="1"/>
  <c r="CA29" i="3"/>
  <c r="BU29" i="3"/>
  <c r="BO29" i="3"/>
  <c r="BH29" i="3"/>
  <c r="BI29" i="3" s="1"/>
  <c r="CA28" i="3"/>
  <c r="BU28" i="3"/>
  <c r="BO28" i="3"/>
  <c r="BH28" i="3"/>
  <c r="BI28" i="3" s="1"/>
  <c r="CA27" i="3"/>
  <c r="BU27" i="3"/>
  <c r="CA26" i="3"/>
  <c r="BU26" i="3"/>
  <c r="BO26" i="3"/>
  <c r="BH26" i="3"/>
  <c r="BI26" i="3" s="1"/>
  <c r="CA25" i="3"/>
  <c r="BU25" i="3"/>
  <c r="BO25" i="3"/>
  <c r="BH25" i="3"/>
  <c r="BI25" i="3" s="1"/>
  <c r="CA23" i="3"/>
  <c r="BU23" i="3"/>
  <c r="BO23" i="3"/>
  <c r="BH23" i="3"/>
  <c r="BI23" i="3" s="1"/>
  <c r="BZ21" i="3"/>
  <c r="BY21" i="3"/>
  <c r="BX21" i="3"/>
  <c r="BW21" i="3"/>
  <c r="BV21" i="3"/>
  <c r="BT21" i="3"/>
  <c r="BS21" i="3"/>
  <c r="BR21" i="3"/>
  <c r="BQ21" i="3"/>
  <c r="BP21" i="3"/>
  <c r="BN21" i="3"/>
  <c r="BL21" i="3"/>
  <c r="BK21" i="3"/>
  <c r="BJ21" i="3"/>
  <c r="BG21" i="3"/>
  <c r="BD21" i="3"/>
  <c r="AX21" i="3"/>
  <c r="AR21" i="3"/>
  <c r="AL21" i="3"/>
  <c r="AF21" i="3"/>
  <c r="Z21" i="3"/>
  <c r="T21" i="3"/>
  <c r="N21" i="3"/>
  <c r="H21" i="3"/>
  <c r="CA20" i="3"/>
  <c r="BU20" i="3"/>
  <c r="BM20" i="3"/>
  <c r="BO20" i="3" s="1"/>
  <c r="BH20" i="3"/>
  <c r="BI20" i="3" s="1"/>
  <c r="CA19" i="3"/>
  <c r="BU19" i="3"/>
  <c r="BM19" i="3"/>
  <c r="BM59" i="3" s="1"/>
  <c r="BH19" i="3"/>
  <c r="BI19" i="3" s="1"/>
  <c r="CA18" i="3"/>
  <c r="BU18" i="3"/>
  <c r="BM18" i="3"/>
  <c r="BM58" i="3" s="1"/>
  <c r="BH18" i="3"/>
  <c r="BI18" i="3" s="1"/>
  <c r="CA17" i="3"/>
  <c r="BU17" i="3"/>
  <c r="BM17" i="3"/>
  <c r="BM57" i="3" s="1"/>
  <c r="BH17" i="3"/>
  <c r="BI17" i="3" s="1"/>
  <c r="CA16" i="3"/>
  <c r="BU16" i="3"/>
  <c r="BM16" i="3"/>
  <c r="BO16" i="3" s="1"/>
  <c r="BH16" i="3"/>
  <c r="BZ14" i="3"/>
  <c r="BZ56" i="3" s="1"/>
  <c r="BZ62" i="3" s="1"/>
  <c r="BZ64" i="3" s="1"/>
  <c r="BY14" i="3"/>
  <c r="BY56" i="3" s="1"/>
  <c r="BY62" i="3" s="1"/>
  <c r="BY64" i="3" s="1"/>
  <c r="BX14" i="3"/>
  <c r="BX56" i="3" s="1"/>
  <c r="BX62" i="3" s="1"/>
  <c r="BX64" i="3" s="1"/>
  <c r="BW14" i="3"/>
  <c r="BV14" i="3"/>
  <c r="BV56" i="3" s="1"/>
  <c r="BT14" i="3"/>
  <c r="BT56" i="3" s="1"/>
  <c r="BS14" i="3"/>
  <c r="BR14" i="3"/>
  <c r="BR56" i="3" s="1"/>
  <c r="BQ14" i="3"/>
  <c r="BQ56" i="3" s="1"/>
  <c r="BP14" i="3"/>
  <c r="BP56" i="3" s="1"/>
  <c r="BN14" i="3"/>
  <c r="BN56" i="3" s="1"/>
  <c r="BM14" i="3"/>
  <c r="BM56" i="3" s="1"/>
  <c r="BL14" i="3"/>
  <c r="BL56" i="3" s="1"/>
  <c r="BK14" i="3"/>
  <c r="BK56" i="3" s="1"/>
  <c r="BJ14" i="3"/>
  <c r="BJ56" i="3" s="1"/>
  <c r="BG14" i="3"/>
  <c r="BG56" i="3" s="1"/>
  <c r="BD14" i="3"/>
  <c r="BD56" i="3" s="1"/>
  <c r="AX14" i="3"/>
  <c r="AX56" i="3" s="1"/>
  <c r="AR14" i="3"/>
  <c r="AR56" i="3" s="1"/>
  <c r="AL14" i="3"/>
  <c r="AL56" i="3" s="1"/>
  <c r="AF14" i="3"/>
  <c r="AF56" i="3" s="1"/>
  <c r="Z14" i="3"/>
  <c r="T14" i="3"/>
  <c r="T56" i="3" s="1"/>
  <c r="N14" i="3"/>
  <c r="N56" i="3" s="1"/>
  <c r="H14" i="3"/>
  <c r="H56" i="3" s="1"/>
  <c r="CA13" i="3"/>
  <c r="BU13" i="3"/>
  <c r="BO13" i="3"/>
  <c r="BH13" i="3"/>
  <c r="BI13" i="3" s="1"/>
  <c r="CA12" i="3"/>
  <c r="BU12" i="3"/>
  <c r="CA11" i="3"/>
  <c r="BU11" i="3"/>
  <c r="BO11" i="3"/>
  <c r="BH11" i="3"/>
  <c r="BI11" i="3" s="1"/>
  <c r="CA10" i="3"/>
  <c r="BU10" i="3"/>
  <c r="BO10" i="3"/>
  <c r="BH10" i="3"/>
  <c r="BI10" i="3" s="1"/>
  <c r="CA8" i="3"/>
  <c r="BU8" i="3"/>
  <c r="BO8" i="3"/>
  <c r="BH8" i="3"/>
  <c r="BI8" i="3" s="1"/>
  <c r="CA7" i="3"/>
  <c r="BU7" i="3"/>
  <c r="BO7" i="3"/>
  <c r="BH7" i="3"/>
  <c r="BI7" i="3" s="1"/>
  <c r="CA5" i="3"/>
  <c r="BU5" i="3"/>
  <c r="BO5" i="3"/>
  <c r="BH5" i="3"/>
  <c r="BM65" i="5" l="1"/>
  <c r="BM69" i="5" s="1"/>
  <c r="C57" i="4"/>
  <c r="W33" i="4"/>
  <c r="AV65" i="5"/>
  <c r="AV69" i="5" s="1"/>
  <c r="BC65" i="5"/>
  <c r="BC69" i="5" s="1"/>
  <c r="U57" i="4"/>
  <c r="U70" i="4" s="1"/>
  <c r="O33" i="4"/>
  <c r="AE33" i="4"/>
  <c r="G33" i="4"/>
  <c r="AV33" i="4"/>
  <c r="AP33" i="4"/>
  <c r="AX57" i="4"/>
  <c r="AX70" i="4" s="1"/>
  <c r="E66" i="4"/>
  <c r="AK57" i="4"/>
  <c r="AK70" i="4" s="1"/>
  <c r="N57" i="4"/>
  <c r="N70" i="4" s="1"/>
  <c r="AD57" i="4"/>
  <c r="AD70" i="4" s="1"/>
  <c r="BH57" i="4"/>
  <c r="BH70" i="4" s="1"/>
  <c r="Y33" i="4"/>
  <c r="Y57" i="4"/>
  <c r="Y70" i="4" s="1"/>
  <c r="AG57" i="4"/>
  <c r="AG70" i="4" s="1"/>
  <c r="AP57" i="4"/>
  <c r="BG57" i="4"/>
  <c r="BG70" i="4" s="1"/>
  <c r="J66" i="4"/>
  <c r="AG33" i="4"/>
  <c r="E57" i="4"/>
  <c r="E70" i="4" s="1"/>
  <c r="M57" i="4"/>
  <c r="M70" i="4" s="1"/>
  <c r="AT57" i="4"/>
  <c r="AT70" i="4" s="1"/>
  <c r="BC57" i="4"/>
  <c r="BC70" i="4" s="1"/>
  <c r="AX33" i="4"/>
  <c r="F57" i="4"/>
  <c r="F70" i="4" s="1"/>
  <c r="V57" i="4"/>
  <c r="V70" i="4" s="1"/>
  <c r="AL57" i="4"/>
  <c r="AL70" i="4" s="1"/>
  <c r="AU57" i="4"/>
  <c r="AU70" i="4" s="1"/>
  <c r="BU75" i="3"/>
  <c r="AR62" i="3"/>
  <c r="AR64" i="3" s="1"/>
  <c r="BO57" i="3"/>
  <c r="BU69" i="3"/>
  <c r="BP62" i="3"/>
  <c r="BP64" i="3" s="1"/>
  <c r="H62" i="3"/>
  <c r="BD62" i="3"/>
  <c r="BD64" i="3" s="1"/>
  <c r="BU59" i="3"/>
  <c r="CB21" i="3"/>
  <c r="I33" i="4"/>
  <c r="Q33" i="4"/>
  <c r="BG33" i="4"/>
  <c r="R33" i="4"/>
  <c r="Z33" i="4"/>
  <c r="AH33" i="4"/>
  <c r="AZ33" i="4"/>
  <c r="BH33" i="4"/>
  <c r="L33" i="4"/>
  <c r="T33" i="4"/>
  <c r="AB33" i="4"/>
  <c r="AS33" i="4"/>
  <c r="BB33" i="4"/>
  <c r="E33" i="4"/>
  <c r="AC33" i="4"/>
  <c r="BW56" i="3"/>
  <c r="CB56" i="3" s="1"/>
  <c r="CB14" i="3"/>
  <c r="CB53" i="3"/>
  <c r="CA53" i="3"/>
  <c r="CA57" i="3"/>
  <c r="CB57" i="3"/>
  <c r="CA58" i="3"/>
  <c r="CB58" i="3"/>
  <c r="CA59" i="3"/>
  <c r="CB59" i="3"/>
  <c r="CA60" i="3"/>
  <c r="CB60" i="3"/>
  <c r="CA63" i="3"/>
  <c r="CB63" i="3"/>
  <c r="CA68" i="3"/>
  <c r="CB68" i="3"/>
  <c r="CA69" i="3"/>
  <c r="CB69" i="3"/>
  <c r="CA70" i="3"/>
  <c r="CB70" i="3"/>
  <c r="CA72" i="3"/>
  <c r="CB72" i="3"/>
  <c r="CA73" i="3"/>
  <c r="CB73" i="3"/>
  <c r="CA75" i="3"/>
  <c r="CB75" i="3"/>
  <c r="BL33" i="4"/>
  <c r="BJ33" i="4"/>
  <c r="BD65" i="5"/>
  <c r="BD69" i="5" s="1"/>
  <c r="BH65" i="5"/>
  <c r="BH69" i="5" s="1"/>
  <c r="BF65" i="5"/>
  <c r="BF69" i="5" s="1"/>
  <c r="BA65" i="5"/>
  <c r="BA69" i="5" s="1"/>
  <c r="BI65" i="5"/>
  <c r="BI69" i="5" s="1"/>
  <c r="BL65" i="5"/>
  <c r="BL69" i="5" s="1"/>
  <c r="BR62" i="3"/>
  <c r="BR64" i="3" s="1"/>
  <c r="BJ62" i="3"/>
  <c r="BJ64" i="3" s="1"/>
  <c r="Z37" i="3"/>
  <c r="Z67" i="3" s="1"/>
  <c r="Z78" i="3" s="1"/>
  <c r="Z82" i="3" s="1"/>
  <c r="BT62" i="3"/>
  <c r="BT64" i="3" s="1"/>
  <c r="AR37" i="3"/>
  <c r="AR67" i="3" s="1"/>
  <c r="AR78" i="3" s="1"/>
  <c r="AR82" i="3" s="1"/>
  <c r="BP37" i="3"/>
  <c r="BP67" i="3" s="1"/>
  <c r="BP78" i="3" s="1"/>
  <c r="BP82" i="3" s="1"/>
  <c r="BV62" i="3"/>
  <c r="BV64" i="3" s="1"/>
  <c r="N62" i="3"/>
  <c r="N64" i="3" s="1"/>
  <c r="BS37" i="3"/>
  <c r="AL62" i="3"/>
  <c r="AL64" i="3" s="1"/>
  <c r="H64" i="3"/>
  <c r="BN62" i="3"/>
  <c r="BN64" i="3" s="1"/>
  <c r="BO18" i="3"/>
  <c r="BU72" i="3"/>
  <c r="BU21" i="3"/>
  <c r="BU58" i="3"/>
  <c r="AX62" i="3"/>
  <c r="AX64" i="3" s="1"/>
  <c r="AF62" i="3"/>
  <c r="AF64" i="3" s="1"/>
  <c r="BL62" i="3"/>
  <c r="BL64" i="3" s="1"/>
  <c r="BY37" i="3"/>
  <c r="BY67" i="3" s="1"/>
  <c r="BY78" i="3" s="1"/>
  <c r="T37" i="3"/>
  <c r="T67" i="3" s="1"/>
  <c r="T78" i="3" s="1"/>
  <c r="T82" i="3" s="1"/>
  <c r="BT37" i="3"/>
  <c r="BT51" i="3" s="1"/>
  <c r="BU70" i="3"/>
  <c r="BU57" i="3"/>
  <c r="BU63" i="3"/>
  <c r="BO58" i="3"/>
  <c r="BL37" i="3"/>
  <c r="BL40" i="3" s="1"/>
  <c r="BU44" i="3"/>
  <c r="BJ65" i="5"/>
  <c r="BJ69" i="5" s="1"/>
  <c r="BG65" i="5"/>
  <c r="BG69" i="5" s="1"/>
  <c r="AX69" i="5"/>
  <c r="BB65" i="5"/>
  <c r="BB69" i="5" s="1"/>
  <c r="I57" i="4"/>
  <c r="Q57" i="4"/>
  <c r="Q70" i="4" s="1"/>
  <c r="C33" i="4"/>
  <c r="K33" i="4"/>
  <c r="S33" i="4"/>
  <c r="AA33" i="4"/>
  <c r="BA33" i="4"/>
  <c r="BI33" i="4"/>
  <c r="AA57" i="4"/>
  <c r="AA70" i="4" s="1"/>
  <c r="J57" i="4"/>
  <c r="J70" i="4" s="1"/>
  <c r="R57" i="4"/>
  <c r="R70" i="4" s="1"/>
  <c r="Z57" i="4"/>
  <c r="Z70" i="4" s="1"/>
  <c r="AQ57" i="4"/>
  <c r="AQ70" i="4" s="1"/>
  <c r="AZ57" i="4"/>
  <c r="AZ70" i="4" s="1"/>
  <c r="M33" i="4"/>
  <c r="AK33" i="4"/>
  <c r="AT33" i="4"/>
  <c r="BC33" i="4"/>
  <c r="BK33" i="4"/>
  <c r="D57" i="4"/>
  <c r="D70" i="4" s="1"/>
  <c r="L57" i="4"/>
  <c r="L70" i="4" s="1"/>
  <c r="T57" i="4"/>
  <c r="T70" i="4" s="1"/>
  <c r="AB57" i="4"/>
  <c r="AB70" i="4" s="1"/>
  <c r="AJ57" i="4"/>
  <c r="AJ70" i="4" s="1"/>
  <c r="AS57" i="4"/>
  <c r="AS70" i="4" s="1"/>
  <c r="BB57" i="4"/>
  <c r="BB70" i="4" s="1"/>
  <c r="BJ57" i="4"/>
  <c r="BJ70" i="4" s="1"/>
  <c r="V33" i="4"/>
  <c r="AD33" i="4"/>
  <c r="AU33" i="4"/>
  <c r="BD33" i="4"/>
  <c r="BK57" i="4"/>
  <c r="BK70" i="4" s="1"/>
  <c r="J33" i="4"/>
  <c r="AY57" i="4"/>
  <c r="AY70" i="4" s="1"/>
  <c r="AC70" i="4"/>
  <c r="BD70" i="4"/>
  <c r="I68" i="4"/>
  <c r="D33" i="4"/>
  <c r="H33" i="4"/>
  <c r="P33" i="4"/>
  <c r="X33" i="4"/>
  <c r="AF33" i="4"/>
  <c r="AO33" i="4"/>
  <c r="BF33" i="4"/>
  <c r="G57" i="4"/>
  <c r="G70" i="4" s="1"/>
  <c r="O57" i="4"/>
  <c r="O70" i="4" s="1"/>
  <c r="W57" i="4"/>
  <c r="W70" i="4" s="1"/>
  <c r="AE57" i="4"/>
  <c r="AE70" i="4" s="1"/>
  <c r="AM57" i="4"/>
  <c r="AM70" i="4" s="1"/>
  <c r="AV57" i="4"/>
  <c r="AV70" i="4" s="1"/>
  <c r="BE57" i="4"/>
  <c r="BE70" i="4" s="1"/>
  <c r="AQ33" i="4"/>
  <c r="AI57" i="4"/>
  <c r="AI70" i="4" s="1"/>
  <c r="AR57" i="4"/>
  <c r="AR70" i="4" s="1"/>
  <c r="BA57" i="4"/>
  <c r="H57" i="4"/>
  <c r="H70" i="4" s="1"/>
  <c r="P57" i="4"/>
  <c r="P70" i="4" s="1"/>
  <c r="X57" i="4"/>
  <c r="X70" i="4" s="1"/>
  <c r="AF57" i="4"/>
  <c r="AF70" i="4" s="1"/>
  <c r="AO57" i="4"/>
  <c r="AO70" i="4" s="1"/>
  <c r="BF57" i="4"/>
  <c r="BF70" i="4" s="1"/>
  <c r="D66" i="4"/>
  <c r="N37" i="3"/>
  <c r="N67" i="3" s="1"/>
  <c r="N78" i="3" s="1"/>
  <c r="N82" i="3" s="1"/>
  <c r="BU68" i="3"/>
  <c r="BH14" i="3"/>
  <c r="BI14" i="3" s="1"/>
  <c r="BJ37" i="3"/>
  <c r="BJ67" i="3" s="1"/>
  <c r="BJ78" i="3" s="1"/>
  <c r="BJ82" i="3" s="1"/>
  <c r="BU73" i="3"/>
  <c r="AF37" i="3"/>
  <c r="AF67" i="3" s="1"/>
  <c r="AF78" i="3" s="1"/>
  <c r="AF82" i="3" s="1"/>
  <c r="BV37" i="3"/>
  <c r="BV40" i="3" s="1"/>
  <c r="T62" i="3"/>
  <c r="T64" i="3" s="1"/>
  <c r="BN37" i="3"/>
  <c r="BN67" i="3" s="1"/>
  <c r="BN78" i="3" s="1"/>
  <c r="BN82" i="3" s="1"/>
  <c r="BW37" i="3"/>
  <c r="BW40" i="3" s="1"/>
  <c r="BU60" i="3"/>
  <c r="BX37" i="3"/>
  <c r="CA44" i="3"/>
  <c r="BU49" i="3"/>
  <c r="BO79" i="3"/>
  <c r="BU79" i="3"/>
  <c r="AX37" i="3"/>
  <c r="AX67" i="3" s="1"/>
  <c r="AX78" i="3" s="1"/>
  <c r="AX82" i="3" s="1"/>
  <c r="BU76" i="3"/>
  <c r="H37" i="3"/>
  <c r="H67" i="3" s="1"/>
  <c r="H78" i="3" s="1"/>
  <c r="H82" i="3" s="1"/>
  <c r="BD37" i="3"/>
  <c r="BD67" i="3" s="1"/>
  <c r="BD78" i="3" s="1"/>
  <c r="BD82" i="3" s="1"/>
  <c r="BR37" i="3"/>
  <c r="BR67" i="3" s="1"/>
  <c r="BR78" i="3" s="1"/>
  <c r="BR82" i="3" s="1"/>
  <c r="BZ37" i="3"/>
  <c r="CA14" i="3"/>
  <c r="BI57" i="4"/>
  <c r="BI70" i="4" s="1"/>
  <c r="BO59" i="3"/>
  <c r="BO19" i="3"/>
  <c r="BM60" i="3"/>
  <c r="BM62" i="3" s="1"/>
  <c r="BA66" i="4"/>
  <c r="BA68" i="4" s="1"/>
  <c r="AX62" i="5"/>
  <c r="BH21" i="3"/>
  <c r="BM21" i="3"/>
  <c r="BM63" i="3"/>
  <c r="BO63" i="3" s="1"/>
  <c r="BO17" i="3"/>
  <c r="BI16" i="3"/>
  <c r="BK65" i="5"/>
  <c r="BK69" i="5" s="1"/>
  <c r="BL57" i="4"/>
  <c r="BL70" i="4" s="1"/>
  <c r="S70" i="4"/>
  <c r="AP70" i="4"/>
  <c r="K70" i="4"/>
  <c r="AI33" i="4"/>
  <c r="AR33" i="4"/>
  <c r="AH57" i="4"/>
  <c r="AH70" i="4" s="1"/>
  <c r="AJ33" i="4"/>
  <c r="U33" i="4"/>
  <c r="N33" i="4"/>
  <c r="AL33" i="4"/>
  <c r="F66" i="4"/>
  <c r="C68" i="4"/>
  <c r="C70" i="4" s="1"/>
  <c r="H66" i="4"/>
  <c r="BK62" i="3"/>
  <c r="BO56" i="3"/>
  <c r="BV67" i="3"/>
  <c r="BV78" i="3" s="1"/>
  <c r="BV82" i="3" s="1"/>
  <c r="BS67" i="3"/>
  <c r="BS78" i="3" s="1"/>
  <c r="BS82" i="3" s="1"/>
  <c r="BS51" i="3"/>
  <c r="BS40" i="3"/>
  <c r="BW62" i="3"/>
  <c r="CB62" i="3" s="1"/>
  <c r="BQ62" i="3"/>
  <c r="BG62" i="3"/>
  <c r="BI56" i="3"/>
  <c r="AL37" i="3"/>
  <c r="AL67" i="3" s="1"/>
  <c r="AL78" i="3" s="1"/>
  <c r="AL82" i="3" s="1"/>
  <c r="BI5" i="3"/>
  <c r="BO14" i="3"/>
  <c r="CA21" i="3"/>
  <c r="BQ37" i="3"/>
  <c r="BU14" i="3"/>
  <c r="BK37" i="3"/>
  <c r="BG37" i="3"/>
  <c r="Z56" i="3"/>
  <c r="Z62" i="3" s="1"/>
  <c r="Z64" i="3" s="1"/>
  <c r="BS56" i="3"/>
  <c r="BS62" i="3" s="1"/>
  <c r="BS64" i="3" s="1"/>
  <c r="I70" i="4" l="1"/>
  <c r="BA70" i="4"/>
  <c r="BV51" i="3"/>
  <c r="BJ40" i="3"/>
  <c r="BT67" i="3"/>
  <c r="BT78" i="3" s="1"/>
  <c r="BT82" i="3" s="1"/>
  <c r="CA56" i="3"/>
  <c r="BT40" i="3"/>
  <c r="BL51" i="3"/>
  <c r="BL67" i="3"/>
  <c r="BL78" i="3" s="1"/>
  <c r="BL82" i="3" s="1"/>
  <c r="BN51" i="3"/>
  <c r="BN40" i="3"/>
  <c r="BW67" i="3"/>
  <c r="BW78" i="3" s="1"/>
  <c r="CB37" i="3"/>
  <c r="BZ40" i="3"/>
  <c r="BZ67" i="3"/>
  <c r="BZ51" i="3"/>
  <c r="BW51" i="3"/>
  <c r="BR40" i="3"/>
  <c r="BP40" i="3"/>
  <c r="BR51" i="3"/>
  <c r="BP51" i="3"/>
  <c r="BH37" i="3"/>
  <c r="BH40" i="3" s="1"/>
  <c r="BY82" i="3"/>
  <c r="BJ51" i="3"/>
  <c r="BY51" i="3"/>
  <c r="BY40" i="3"/>
  <c r="CA37" i="3"/>
  <c r="CA51" i="3" s="1"/>
  <c r="BM64" i="3"/>
  <c r="BX67" i="3"/>
  <c r="BX78" i="3" s="1"/>
  <c r="BX82" i="3" s="1"/>
  <c r="BX51" i="3"/>
  <c r="BX40" i="3"/>
  <c r="BO60" i="3"/>
  <c r="BI21" i="3"/>
  <c r="BM37" i="3"/>
  <c r="BO37" i="3" s="1"/>
  <c r="BO21" i="3"/>
  <c r="BI62" i="3"/>
  <c r="BG64" i="3"/>
  <c r="BI64" i="3" s="1"/>
  <c r="BG51" i="3"/>
  <c r="BG40" i="3"/>
  <c r="BG67" i="3"/>
  <c r="BG78" i="3" s="1"/>
  <c r="BK67" i="3"/>
  <c r="BK78" i="3" s="1"/>
  <c r="BK51" i="3"/>
  <c r="BK40" i="3"/>
  <c r="CA62" i="3"/>
  <c r="BW64" i="3"/>
  <c r="BQ67" i="3"/>
  <c r="BU37" i="3"/>
  <c r="BQ51" i="3"/>
  <c r="BQ40" i="3"/>
  <c r="BQ64" i="3"/>
  <c r="BU64" i="3" s="1"/>
  <c r="BU62" i="3"/>
  <c r="BU56" i="3"/>
  <c r="BK64" i="3"/>
  <c r="BO62" i="3"/>
  <c r="CA64" i="3" l="1"/>
  <c r="CB64" i="3"/>
  <c r="CB40" i="3"/>
  <c r="CB51" i="3"/>
  <c r="CB67" i="3"/>
  <c r="CB78" i="3" s="1"/>
  <c r="CB82" i="3" s="1"/>
  <c r="CA67" i="3"/>
  <c r="CA78" i="3" s="1"/>
  <c r="BZ78" i="3"/>
  <c r="BI37" i="3"/>
  <c r="BI40" i="3" s="1"/>
  <c r="BH51" i="3"/>
  <c r="BO64" i="3"/>
  <c r="CA40" i="3"/>
  <c r="BM51" i="3"/>
  <c r="BM67" i="3"/>
  <c r="BM78" i="3" s="1"/>
  <c r="BM82" i="3" s="1"/>
  <c r="BM40" i="3"/>
  <c r="BU67" i="3"/>
  <c r="BQ78" i="3"/>
  <c r="BG82" i="3"/>
  <c r="BI78" i="3"/>
  <c r="BI82" i="3" s="1"/>
  <c r="BU51" i="3"/>
  <c r="BU40" i="3"/>
  <c r="BK82" i="3"/>
  <c r="BW82" i="3"/>
  <c r="BO51" i="3"/>
  <c r="BO40" i="3"/>
  <c r="CA82" i="3" l="1"/>
  <c r="BZ82" i="3"/>
  <c r="BI51" i="3"/>
  <c r="BO78" i="3"/>
  <c r="BO82" i="3" s="1"/>
  <c r="BQ82" i="3"/>
  <c r="BU78" i="3"/>
  <c r="BU82" i="3" s="1"/>
  <c r="AV7" i="2" l="1"/>
  <c r="AU10" i="8" l="1"/>
  <c r="AU9" i="8"/>
  <c r="AU7" i="8"/>
  <c r="AU6" i="8"/>
  <c r="AU5" i="8"/>
  <c r="AU4" i="8"/>
  <c r="AU30" i="2"/>
  <c r="AU28" i="2"/>
  <c r="AU27" i="2"/>
  <c r="AU26" i="2"/>
  <c r="AU25" i="2"/>
  <c r="AU23" i="2"/>
  <c r="AU20" i="2"/>
  <c r="AU19" i="2"/>
  <c r="AU18" i="2"/>
  <c r="AU16" i="2"/>
  <c r="AU13" i="2"/>
  <c r="AU12" i="2"/>
  <c r="AU11" i="2"/>
  <c r="AU9" i="2"/>
  <c r="AU6" i="2"/>
  <c r="AU5" i="2"/>
  <c r="AU4" i="2"/>
  <c r="AS28" i="2" l="1"/>
  <c r="AS21" i="2"/>
  <c r="AS14" i="2"/>
  <c r="AS7" i="2"/>
  <c r="AR28" i="2" l="1"/>
  <c r="AR21" i="2"/>
  <c r="AR14" i="2"/>
  <c r="AR7" i="2"/>
  <c r="AQ21" i="2"/>
  <c r="AQ14" i="2"/>
  <c r="AQ7" i="2"/>
  <c r="AU7" i="2" s="1"/>
  <c r="AU21" i="2" l="1"/>
  <c r="AU14" i="2"/>
  <c r="AP30" i="2"/>
  <c r="AP27" i="2"/>
  <c r="AP26" i="2"/>
  <c r="AP25" i="2"/>
  <c r="AP23" i="2"/>
  <c r="AP21" i="2"/>
  <c r="AP20" i="2"/>
  <c r="AP19" i="2"/>
  <c r="AP18" i="2"/>
  <c r="AP16" i="2"/>
  <c r="AP14" i="2"/>
  <c r="AP13" i="2"/>
  <c r="AP12" i="2"/>
  <c r="AP11" i="2"/>
  <c r="AP9" i="2"/>
  <c r="AP7" i="2"/>
  <c r="AP6" i="2"/>
  <c r="AP5" i="2"/>
  <c r="AP4" i="2"/>
  <c r="AP7" i="8" l="1"/>
  <c r="AP6" i="8"/>
  <c r="AP5" i="8"/>
  <c r="AP4" i="8"/>
  <c r="AK5" i="8"/>
  <c r="AK6" i="8"/>
  <c r="AK7" i="8"/>
  <c r="AK4" i="8"/>
  <c r="AM11" i="2" l="1"/>
  <c r="AK30" i="2" l="1"/>
  <c r="AK27" i="2"/>
  <c r="AK26" i="2"/>
  <c r="AK25" i="2"/>
  <c r="AK23" i="2"/>
  <c r="AK20" i="2"/>
  <c r="AK19" i="2"/>
  <c r="AK18" i="2"/>
  <c r="AK9" i="2"/>
  <c r="AK6" i="2"/>
  <c r="AK5" i="2"/>
  <c r="AK4" i="2"/>
  <c r="AK16" i="2"/>
  <c r="AK13" i="2"/>
  <c r="AK12" i="2"/>
  <c r="AK11" i="2"/>
  <c r="AJ21" i="2"/>
  <c r="AI21" i="2"/>
  <c r="AJ14" i="2"/>
  <c r="AI14" i="2"/>
  <c r="AK21" i="2" l="1"/>
  <c r="AK14" i="2"/>
  <c r="AJ7" i="2"/>
  <c r="AI7" i="2"/>
  <c r="AK7" i="2" s="1"/>
  <c r="AF10" i="8" l="1"/>
  <c r="AA10" i="8"/>
  <c r="V10" i="8"/>
  <c r="Q10" i="8"/>
  <c r="L10" i="8"/>
  <c r="G10" i="8"/>
  <c r="AF9" i="8"/>
  <c r="AA9" i="8"/>
  <c r="V9" i="8"/>
  <c r="Q9" i="8"/>
  <c r="L9" i="8"/>
  <c r="AF7" i="8"/>
  <c r="AA7" i="8"/>
  <c r="V7" i="8"/>
  <c r="Q7" i="8"/>
  <c r="L7" i="8"/>
  <c r="G7" i="8"/>
  <c r="AF6" i="8"/>
  <c r="AA6" i="8"/>
  <c r="V6" i="8"/>
  <c r="AF5" i="8"/>
  <c r="AA5" i="8"/>
  <c r="V5" i="8"/>
  <c r="Q5" i="8"/>
  <c r="L5" i="8"/>
  <c r="G5" i="8"/>
  <c r="AF4" i="8"/>
  <c r="AA4" i="8"/>
  <c r="V4" i="8"/>
  <c r="Q4" i="8"/>
  <c r="AF30" i="2"/>
  <c r="AF27" i="2"/>
  <c r="AF26" i="2"/>
  <c r="AF25" i="2"/>
  <c r="AF23" i="2"/>
  <c r="AA23" i="2"/>
  <c r="V23" i="2"/>
  <c r="Q23" i="2"/>
  <c r="L23" i="2"/>
  <c r="G23" i="2"/>
  <c r="AF21" i="2"/>
  <c r="W21" i="2"/>
  <c r="AA21" i="2" s="1"/>
  <c r="U21" i="2"/>
  <c r="T21" i="2"/>
  <c r="S21" i="2"/>
  <c r="R21" i="2"/>
  <c r="P21" i="2"/>
  <c r="O21" i="2"/>
  <c r="N21" i="2"/>
  <c r="M21" i="2"/>
  <c r="K21" i="2"/>
  <c r="J21" i="2"/>
  <c r="I21" i="2"/>
  <c r="H21" i="2"/>
  <c r="F21" i="2"/>
  <c r="E21" i="2"/>
  <c r="AF20" i="2"/>
  <c r="AA20" i="2"/>
  <c r="V20" i="2"/>
  <c r="Q20" i="2"/>
  <c r="L20" i="2"/>
  <c r="G20" i="2"/>
  <c r="AF19" i="2"/>
  <c r="AA19" i="2"/>
  <c r="V19" i="2"/>
  <c r="Q19" i="2"/>
  <c r="L19" i="2"/>
  <c r="G19" i="2"/>
  <c r="AF18" i="2"/>
  <c r="AA18" i="2"/>
  <c r="V18" i="2"/>
  <c r="Q18" i="2"/>
  <c r="L18" i="2"/>
  <c r="G18" i="2"/>
  <c r="AF16" i="2"/>
  <c r="AA16" i="2"/>
  <c r="V16" i="2"/>
  <c r="Q16" i="2"/>
  <c r="L16" i="2"/>
  <c r="G16" i="2"/>
  <c r="AF14" i="2"/>
  <c r="AA14" i="2"/>
  <c r="V14" i="2"/>
  <c r="Q14" i="2"/>
  <c r="L14" i="2"/>
  <c r="G14" i="2"/>
  <c r="AF13" i="2"/>
  <c r="AA13" i="2"/>
  <c r="V13" i="2"/>
  <c r="Q13" i="2"/>
  <c r="L13" i="2"/>
  <c r="G13" i="2"/>
  <c r="AF12" i="2"/>
  <c r="AA12" i="2"/>
  <c r="V12" i="2"/>
  <c r="Q12" i="2"/>
  <c r="L12" i="2"/>
  <c r="G12" i="2"/>
  <c r="AF11" i="2"/>
  <c r="AA11" i="2"/>
  <c r="V11" i="2"/>
  <c r="Q11" i="2"/>
  <c r="L11" i="2"/>
  <c r="G11" i="2"/>
  <c r="AF9" i="2"/>
  <c r="AA9" i="2"/>
  <c r="V9" i="2"/>
  <c r="Q9" i="2"/>
  <c r="L9" i="2"/>
  <c r="G9" i="2"/>
  <c r="AF7" i="2"/>
  <c r="AA7" i="2"/>
  <c r="V7" i="2"/>
  <c r="Q7" i="2"/>
  <c r="L7" i="2"/>
  <c r="G7" i="2"/>
  <c r="AF6" i="2"/>
  <c r="AA6" i="2"/>
  <c r="V6" i="2"/>
  <c r="Q6" i="2"/>
  <c r="L6" i="2"/>
  <c r="G6" i="2"/>
  <c r="AF5" i="2"/>
  <c r="AA5" i="2"/>
  <c r="V5" i="2"/>
  <c r="Q5" i="2"/>
  <c r="L5" i="2"/>
  <c r="G5" i="2"/>
  <c r="AF4" i="2"/>
  <c r="AA4" i="2"/>
  <c r="V4" i="2"/>
  <c r="Q4" i="2"/>
  <c r="L4" i="2"/>
  <c r="G4" i="2"/>
  <c r="L21" i="2" l="1"/>
  <c r="Q21" i="2"/>
  <c r="G21" i="2"/>
  <c r="V21" i="2"/>
  <c r="CJ21" i="3"/>
  <c r="CM17" i="3"/>
  <c r="CM21" i="3" s="1"/>
  <c r="CJ57" i="3"/>
  <c r="CM57" i="3" s="1"/>
  <c r="CM62" i="3" s="1"/>
  <c r="CM64" i="3" s="1"/>
  <c r="CJ62" i="3"/>
  <c r="CJ64" i="3" s="1"/>
  <c r="CJ37" i="3"/>
  <c r="CJ67" i="3" s="1"/>
  <c r="CM23" i="3"/>
  <c r="CM37" i="3" l="1"/>
  <c r="CM40" i="3" s="1"/>
  <c r="CM67" i="3"/>
  <c r="CJ78" i="3"/>
  <c r="CJ82" i="3" s="1"/>
  <c r="CJ40" i="3"/>
  <c r="CJ51" i="3"/>
  <c r="CM78" i="3" l="1"/>
  <c r="CM82" i="3" s="1"/>
  <c r="CM51"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Miguel Rizo</author>
    <author>Marai Castillo</author>
    <author>Mariana González</author>
    <author>Eduardo Gastelú</author>
  </authors>
  <commentList>
    <comment ref="AJ32" authorId="0" shapeId="0" xr:uid="{4ED5682D-6DF5-4440-AD66-B4EC2EF8C7FE}">
      <text>
        <r>
          <rPr>
            <b/>
            <sz val="9"/>
            <color indexed="81"/>
            <rFont val="Tahoma"/>
            <family val="2"/>
          </rPr>
          <t>Miguel Rizo:</t>
        </r>
        <r>
          <rPr>
            <sz val="9"/>
            <color indexed="81"/>
            <rFont val="Tahoma"/>
            <family val="2"/>
          </rPr>
          <t xml:space="preserve">
Cambió con los estados financieros definitivos</t>
        </r>
      </text>
    </comment>
    <comment ref="AP35" authorId="0" shapeId="0" xr:uid="{609138F8-441A-4E64-8BE5-97F9735C4472}">
      <text>
        <r>
          <rPr>
            <b/>
            <sz val="9"/>
            <color indexed="81"/>
            <rFont val="Tahoma"/>
            <family val="2"/>
          </rPr>
          <t>Miguel Rizo:</t>
        </r>
        <r>
          <rPr>
            <sz val="9"/>
            <color indexed="81"/>
            <rFont val="Tahoma"/>
            <family val="2"/>
          </rPr>
          <t xml:space="preserve">
Utilidad en venta de propiedades de inversión</t>
        </r>
      </text>
    </comment>
    <comment ref="AJ53" authorId="1" shapeId="0" xr:uid="{057313CD-EA84-4F75-A481-15FD0507B3B0}">
      <text>
        <r>
          <rPr>
            <sz val="9"/>
            <color indexed="81"/>
            <rFont val="Tahoma"/>
            <family val="2"/>
          </rPr>
          <t>Del archivo CBFIs enviado por Lau el 07/02/2017</t>
        </r>
      </text>
    </comment>
    <comment ref="AM53" authorId="1" shapeId="0" xr:uid="{1DD4E074-F958-435B-8EA5-0830E0D6F4E0}">
      <text>
        <r>
          <rPr>
            <sz val="9"/>
            <color indexed="81"/>
            <rFont val="Tahoma"/>
            <family val="2"/>
          </rPr>
          <t>Nos lo debe pasar Javier  Elizalde</t>
        </r>
      </text>
    </comment>
    <comment ref="AS76" authorId="2" shapeId="0" xr:uid="{A3B95BCB-D555-4B6D-B9D0-8C3AE6050407}">
      <text>
        <r>
          <rPr>
            <b/>
            <sz val="9"/>
            <color indexed="81"/>
            <rFont val="Tahoma"/>
            <family val="2"/>
          </rPr>
          <t>Mariana González:</t>
        </r>
        <r>
          <rPr>
            <sz val="9"/>
            <color indexed="81"/>
            <rFont val="Tahoma"/>
            <family val="2"/>
          </rPr>
          <t xml:space="preserve">
venta uag</t>
        </r>
      </text>
    </comment>
    <comment ref="AI77" authorId="2" shapeId="0" xr:uid="{0D41D6DB-D1EF-4BB4-A310-EDF3574519B9}">
      <text>
        <r>
          <rPr>
            <b/>
            <sz val="9"/>
            <color indexed="81"/>
            <rFont val="Tahoma"/>
            <family val="2"/>
          </rPr>
          <t>Mariana González:</t>
        </r>
        <r>
          <rPr>
            <sz val="9"/>
            <color indexed="81"/>
            <rFont val="Tahoma"/>
            <family val="2"/>
          </rPr>
          <t xml:space="preserve">
se actualiza cada trimestre conforme al ffo del interes minoritario calculado por Gerardo del Angel</t>
        </r>
      </text>
    </comment>
    <comment ref="AM77" authorId="1" shapeId="0" xr:uid="{7F5B54C8-80A3-4F9A-A8EA-4D6F2C3248F9}">
      <text>
        <r>
          <rPr>
            <b/>
            <sz val="9"/>
            <color indexed="81"/>
            <rFont val="Tahoma"/>
            <family val="2"/>
          </rPr>
          <t>Marai Castillo:</t>
        </r>
        <r>
          <rPr>
            <sz val="9"/>
            <color indexed="81"/>
            <rFont val="Tahoma"/>
            <family val="2"/>
          </rPr>
          <t xml:space="preserve">
Se sumó la revaluación de los minoritarios</t>
        </r>
      </text>
    </comment>
    <comment ref="AO77" authorId="2" shapeId="0" xr:uid="{84962974-EDF1-4269-ACDB-B581F0B862D6}">
      <text>
        <r>
          <rPr>
            <b/>
            <sz val="9"/>
            <color indexed="81"/>
            <rFont val="Tahoma"/>
            <family val="2"/>
          </rPr>
          <t>Mariana González:</t>
        </r>
        <r>
          <rPr>
            <sz val="9"/>
            <color indexed="81"/>
            <rFont val="Tahoma"/>
            <family val="2"/>
          </rPr>
          <t xml:space="preserve">
se actualiza cada trimestre conforme al ffo del interes minoritario calculado por Gerardo del Angel</t>
        </r>
      </text>
    </comment>
    <comment ref="AS77" authorId="2" shapeId="0" xr:uid="{DF09ADBA-92BD-4555-A364-A3FD94E2D60D}">
      <text>
        <r>
          <rPr>
            <b/>
            <sz val="9"/>
            <color indexed="81"/>
            <rFont val="Tahoma"/>
            <family val="2"/>
          </rPr>
          <t>Mariana González:</t>
        </r>
        <r>
          <rPr>
            <sz val="9"/>
            <color indexed="81"/>
            <rFont val="Tahoma"/>
            <family val="2"/>
          </rPr>
          <t xml:space="preserve">
interés minoritario</t>
        </r>
      </text>
    </comment>
    <comment ref="AU77" authorId="3" shapeId="0" xr:uid="{6B03F1A9-1708-4B56-8569-84286D05AFEC}">
      <text>
        <r>
          <rPr>
            <b/>
            <sz val="9"/>
            <color indexed="81"/>
            <rFont val="Tahoma"/>
            <family val="2"/>
          </rPr>
          <t>Pedir el correcto a G. del Angel</t>
        </r>
      </text>
    </comment>
    <comment ref="AS79" authorId="2" shapeId="0" xr:uid="{E82C8BA8-3389-4534-B559-0BE4D2D71039}">
      <text>
        <r>
          <rPr>
            <b/>
            <sz val="9"/>
            <color indexed="81"/>
            <rFont val="Tahoma"/>
            <family val="2"/>
          </rPr>
          <t>Mariana González:</t>
        </r>
        <r>
          <rPr>
            <sz val="9"/>
            <color indexed="81"/>
            <rFont val="Tahoma"/>
            <family val="2"/>
          </rPr>
          <t xml:space="preserve">
venta UAG</t>
        </r>
      </text>
    </comment>
    <comment ref="AY79" authorId="0" shapeId="0" xr:uid="{E2F55241-1EBB-4958-942F-C547B0F984BB}">
      <text>
        <r>
          <rPr>
            <b/>
            <sz val="9"/>
            <color indexed="81"/>
            <rFont val="Tahoma"/>
            <family val="2"/>
          </rPr>
          <t>Miguel Rizo:</t>
        </r>
        <r>
          <rPr>
            <sz val="9"/>
            <color indexed="81"/>
            <rFont val="Tahoma"/>
            <family val="2"/>
          </rPr>
          <t xml:space="preserve">
Gastos no recurrentes</t>
        </r>
      </text>
    </comment>
    <comment ref="AI81" authorId="1" shapeId="0" xr:uid="{E1FC37F5-C2AB-4C18-9AA4-DDA282A91FE6}">
      <text>
        <r>
          <rPr>
            <b/>
            <sz val="9"/>
            <color indexed="81"/>
            <rFont val="Tahoma"/>
            <family val="2"/>
          </rPr>
          <t>Marai Castillo:</t>
        </r>
        <r>
          <rPr>
            <sz val="9"/>
            <color indexed="81"/>
            <rFont val="Tahoma"/>
            <family val="2"/>
          </rPr>
          <t xml:space="preserve">
En los EEFF se está sumando</t>
        </r>
      </text>
    </comment>
    <comment ref="AO81" authorId="1" shapeId="0" xr:uid="{7B4A1A21-02CF-4930-985E-58BC23937A89}">
      <text>
        <r>
          <rPr>
            <b/>
            <sz val="9"/>
            <color indexed="81"/>
            <rFont val="Tahoma"/>
            <family val="2"/>
          </rPr>
          <t>Marai Castillo:</t>
        </r>
        <r>
          <rPr>
            <sz val="9"/>
            <color indexed="81"/>
            <rFont val="Tahoma"/>
            <family val="2"/>
          </rPr>
          <t xml:space="preserve">
En los EEFF se está sumando</t>
        </r>
      </text>
    </comment>
  </commentList>
</comments>
</file>

<file path=xl/sharedStrings.xml><?xml version="1.0" encoding="utf-8"?>
<sst xmlns="http://schemas.openxmlformats.org/spreadsheetml/2006/main" count="1302" uniqueCount="447">
  <si>
    <t xml:space="preserve">Comercial </t>
  </si>
  <si>
    <t>3T19</t>
  </si>
  <si>
    <t>2T19</t>
  </si>
  <si>
    <t>1T19</t>
  </si>
  <si>
    <t>4T18</t>
  </si>
  <si>
    <t>3T18</t>
  </si>
  <si>
    <t>2T18</t>
  </si>
  <si>
    <t>1T18</t>
  </si>
  <si>
    <t>2T17</t>
  </si>
  <si>
    <t>1T17</t>
  </si>
  <si>
    <t>4T16</t>
  </si>
  <si>
    <t>3T16</t>
  </si>
  <si>
    <t>2T16</t>
  </si>
  <si>
    <t>1T16</t>
  </si>
  <si>
    <t>4T15</t>
  </si>
  <si>
    <t>3T15</t>
  </si>
  <si>
    <t>2T15</t>
  </si>
  <si>
    <t>1T15</t>
  </si>
  <si>
    <t>4T14</t>
  </si>
  <si>
    <t>3T14</t>
  </si>
  <si>
    <t>2T14</t>
  </si>
  <si>
    <r>
      <t>GLA  Total (´000 m</t>
    </r>
    <r>
      <rPr>
        <vertAlign val="superscript"/>
        <sz val="9"/>
        <color rgb="FF000000"/>
        <rFont val="Calibri Light"/>
        <family val="2"/>
      </rPr>
      <t>2</t>
    </r>
    <r>
      <rPr>
        <sz val="9"/>
        <color rgb="FF000000"/>
        <rFont val="Calibri Light"/>
        <family val="2"/>
      </rPr>
      <t xml:space="preserve">) </t>
    </r>
  </si>
  <si>
    <r>
      <t>Operaciones</t>
    </r>
    <r>
      <rPr>
        <vertAlign val="superscript"/>
        <sz val="9"/>
        <color rgb="FF000000"/>
        <rFont val="Calibri Light"/>
        <family val="2"/>
      </rPr>
      <t>(1)</t>
    </r>
    <r>
      <rPr>
        <sz val="9"/>
        <color rgb="FF000000"/>
        <rFont val="Calibri Light"/>
        <family val="2"/>
      </rPr>
      <t xml:space="preserve"> </t>
    </r>
  </si>
  <si>
    <t xml:space="preserve">Duración promedio de contratos (años) </t>
  </si>
  <si>
    <t xml:space="preserve">Ocupación total </t>
  </si>
  <si>
    <t>Industrial</t>
  </si>
  <si>
    <t xml:space="preserve">Oficinas </t>
  </si>
  <si>
    <t>Ocupación total</t>
  </si>
  <si>
    <t>Otros</t>
  </si>
  <si>
    <t>3T17</t>
  </si>
  <si>
    <t>4T17</t>
  </si>
  <si>
    <t>Moneda</t>
  </si>
  <si>
    <t>Segmento</t>
  </si>
  <si>
    <t>MXP</t>
  </si>
  <si>
    <t>USD</t>
  </si>
  <si>
    <t>M2</t>
  </si>
  <si>
    <t># de renovaciones</t>
  </si>
  <si>
    <t>Spread vs Inflación 12M</t>
  </si>
  <si>
    <r>
      <t xml:space="preserve">Renta x M2 </t>
    </r>
    <r>
      <rPr>
        <b/>
        <sz val="10"/>
        <color theme="0"/>
        <rFont val="Calibri"/>
        <family val="2"/>
      </rPr>
      <t>Δ</t>
    </r>
    <r>
      <rPr>
        <b/>
        <sz val="10"/>
        <color theme="0"/>
        <rFont val="Calibri Light"/>
        <family val="2"/>
        <scheme val="major"/>
      </rPr>
      <t xml:space="preserve"> YoY</t>
    </r>
  </si>
  <si>
    <t>Oficinas</t>
  </si>
  <si>
    <t>SS Renta promedio Δ YoY</t>
  </si>
  <si>
    <t>SS Ingreso Anual Δ YoY</t>
  </si>
  <si>
    <t>SS Ocupacion Δ YoY</t>
  </si>
  <si>
    <t>SS GLA Δ YoY</t>
  </si>
  <si>
    <t>Total</t>
  </si>
  <si>
    <t>4T19</t>
  </si>
  <si>
    <t xml:space="preserve">POR CBFI </t>
  </si>
  <si>
    <t>Índice</t>
  </si>
  <si>
    <t>Datos Operativos</t>
  </si>
  <si>
    <t>Datos por CBFI</t>
  </si>
  <si>
    <t>Leasing Spreads</t>
  </si>
  <si>
    <t>Estado de Resultados</t>
  </si>
  <si>
    <t>NOI*</t>
  </si>
  <si>
    <t>FFO*</t>
  </si>
  <si>
    <t>AFFO*</t>
  </si>
  <si>
    <t>Distribución**</t>
  </si>
  <si>
    <t>* Usando CBFIs promedio</t>
  </si>
  <si>
    <t>CBFIs promedio</t>
  </si>
  <si>
    <t>CBFIs (millones)</t>
  </si>
  <si>
    <t>Balance General</t>
  </si>
  <si>
    <t>Flujo de Efectivo</t>
  </si>
  <si>
    <t>2011</t>
  </si>
  <si>
    <t>2012</t>
  </si>
  <si>
    <t>Propiedades de Inversión</t>
  </si>
  <si>
    <t>Mantenimiento</t>
  </si>
  <si>
    <t>Dividendos sobre rentas de derechos fiduciarios</t>
  </si>
  <si>
    <t>Comisión por Administración</t>
  </si>
  <si>
    <t>Honorarios de Administración</t>
  </si>
  <si>
    <t>Gastos de Operación</t>
  </si>
  <si>
    <t>Predial</t>
  </si>
  <si>
    <t>Seguros</t>
  </si>
  <si>
    <t>Gastos por intereses</t>
  </si>
  <si>
    <t>Ingresos por intereses</t>
  </si>
  <si>
    <t>Ganancia en venta de propiedades de inversión</t>
  </si>
  <si>
    <t>Efecto de valuación en instrumentos financieros</t>
  </si>
  <si>
    <t>Amortización plataforma administrativa</t>
  </si>
  <si>
    <t>Amortización de comisiones bancarias</t>
  </si>
  <si>
    <t>Participación en el resultado de subsidiarias</t>
  </si>
  <si>
    <t>ECP</t>
  </si>
  <si>
    <t>Otros (gastos) ingresos, Netos     (Gastos por adq. De inv. En asociadas &amp; Impuestos por la venta de prop. De inv.)</t>
  </si>
  <si>
    <t>Margen Utilidad Neta</t>
  </si>
  <si>
    <t>Participación controladora</t>
  </si>
  <si>
    <t>Participación no controladora</t>
  </si>
  <si>
    <t>CBFIs en Circulación</t>
  </si>
  <si>
    <t>CBFIs promedio del periodo</t>
  </si>
  <si>
    <t>Ingresos</t>
  </si>
  <si>
    <t>- Gastos de Operación</t>
  </si>
  <si>
    <t>- Predial</t>
  </si>
  <si>
    <t>- Seguros</t>
  </si>
  <si>
    <t>+/- Partidas no recurrentes</t>
  </si>
  <si>
    <t>= NOI</t>
  </si>
  <si>
    <t>- Honorarios de Administración</t>
  </si>
  <si>
    <t>= EBITDA</t>
  </si>
  <si>
    <t>+/- Ajustes al valor razonable de propiedades de inversion</t>
  </si>
  <si>
    <t>+/- Ganancia cambiaria, Neta</t>
  </si>
  <si>
    <t>+/- Efecto de valuación en instrumentos financieros</t>
  </si>
  <si>
    <t>+ Amortización plataforma administrativa</t>
  </si>
  <si>
    <t>+ Amortización de comisiones bancarias</t>
  </si>
  <si>
    <t>+ Participación en el resultado de subsidiarias</t>
  </si>
  <si>
    <t>+ Equity Compensation Plan</t>
  </si>
  <si>
    <t>- Participación no controladora</t>
  </si>
  <si>
    <t>= FFO</t>
  </si>
  <si>
    <t>- Utilidad por la venta de propiedades de inversión</t>
  </si>
  <si>
    <t>- CapEx de mantenimiento</t>
  </si>
  <si>
    <t>= AFFO</t>
  </si>
  <si>
    <r>
      <t xml:space="preserve">Estado de Resultados </t>
    </r>
    <r>
      <rPr>
        <b/>
        <sz val="8"/>
        <color theme="0"/>
        <rFont val="Calibri Light"/>
        <family val="2"/>
        <scheme val="major"/>
      </rPr>
      <t>(miles de pesos)</t>
    </r>
  </si>
  <si>
    <t>Activo</t>
  </si>
  <si>
    <t>Rentas por Cobrar y Otras</t>
  </si>
  <si>
    <t xml:space="preserve"> </t>
  </si>
  <si>
    <t>Otras Cuentas por Cobrar</t>
  </si>
  <si>
    <t>Partes Relacionadas (Parks, Fundación FUNO, etc)</t>
  </si>
  <si>
    <t>Impuestos por Recuperar</t>
  </si>
  <si>
    <t>Pagos Anticipados</t>
  </si>
  <si>
    <t>Total del Activo Circulante</t>
  </si>
  <si>
    <t xml:space="preserve">Pagos Anticipados </t>
  </si>
  <si>
    <t>Otras cuentas por cobrar</t>
  </si>
  <si>
    <t>Instrumentos financieros derivados</t>
  </si>
  <si>
    <t>Total del Activo No Circulante</t>
  </si>
  <si>
    <t>Total de Activo</t>
  </si>
  <si>
    <t>Préstamos</t>
  </si>
  <si>
    <t>Rentas Cobradas por Anticipado</t>
  </si>
  <si>
    <t>Cuentas por Pagar a Partes Relacionadas</t>
  </si>
  <si>
    <t>Instrumentos financieros derivados a Largo Plazo</t>
  </si>
  <si>
    <t>Depósitos de los Arrendatarios</t>
  </si>
  <si>
    <t>Rentas Cobradas por Anticipado a Largo Plazo</t>
  </si>
  <si>
    <t>Total de Pasivo</t>
  </si>
  <si>
    <t>Aportaciones de los Fideicomitentes</t>
  </si>
  <si>
    <r>
      <t xml:space="preserve">Balance General </t>
    </r>
    <r>
      <rPr>
        <b/>
        <sz val="8"/>
        <color theme="0"/>
        <rFont val="Calibri Light"/>
        <family val="2"/>
        <scheme val="major"/>
      </rPr>
      <t>(miles de pesos)</t>
    </r>
  </si>
  <si>
    <t>Utilidad neta consolidada del año</t>
  </si>
  <si>
    <t>Ajustes para partidas que no generaron efectivo:</t>
  </si>
  <si>
    <t>Ajustes al valor razonable de propiedades de inversión</t>
  </si>
  <si>
    <t>Efecto de partidas no realizadas</t>
  </si>
  <si>
    <t>Utilidad en venta de propiedades de inversión</t>
  </si>
  <si>
    <t>Bono ejecutivo</t>
  </si>
  <si>
    <t>Intereses a favor</t>
  </si>
  <si>
    <t>Intereses a cargo</t>
  </si>
  <si>
    <t>Efecto de valuación en instrumentos financieros derivados</t>
  </si>
  <si>
    <t>Cambios en el capital de trabajo:</t>
  </si>
  <si>
    <t>(Incremento) disminución en:</t>
  </si>
  <si>
    <t>Rentas por cobrar a clientes</t>
  </si>
  <si>
    <t>Cuentas por cobrar a partes relacionadas</t>
  </si>
  <si>
    <t>Impuestos por recuperar, principalmente impuesto al valor agregado</t>
  </si>
  <si>
    <t>Pagos anticipados y otros activos</t>
  </si>
  <si>
    <t>Incremento (disminución) en:</t>
  </si>
  <si>
    <t>Pasivos acumulados y acreedores diversos</t>
  </si>
  <si>
    <t>Rentas cobradas por anticipado</t>
  </si>
  <si>
    <t>Depósitos de los arrendatarios</t>
  </si>
  <si>
    <t>Cuentas por pagar partes relacionadas</t>
  </si>
  <si>
    <t>Flujo neto de efectivo generado por actividades de operación</t>
  </si>
  <si>
    <t>Inversiones en desarrollo de proyectos y gastos de adquisición</t>
  </si>
  <si>
    <t>Venta de propiedades de inversión</t>
  </si>
  <si>
    <t>Inversiones en valores</t>
  </si>
  <si>
    <t>Compra de derechos fiduciarios</t>
  </si>
  <si>
    <t>Intereses cobrados</t>
  </si>
  <si>
    <t>Flujo neto de efectivo utilizado en actividades de inversión</t>
  </si>
  <si>
    <t>Pagos de préstamos</t>
  </si>
  <si>
    <t>Préstamos obtenidos</t>
  </si>
  <si>
    <t>Contribuciones al patrimonio en efectivo</t>
  </si>
  <si>
    <t>Distribuciones a los fideicomitentes</t>
  </si>
  <si>
    <t>Recompra de CBFIs</t>
  </si>
  <si>
    <t>Intereses pagados</t>
  </si>
  <si>
    <t>Flujo neto de efectivo generado (utilizado) de actividades de financiamiento</t>
  </si>
  <si>
    <t>Efectivo y efectivo restringido:</t>
  </si>
  <si>
    <t>Aumento neto en efectivo y equivalentes de efectivo</t>
  </si>
  <si>
    <t>Efectivo y equivalentes de efectivo al inicio del período</t>
  </si>
  <si>
    <t>Efectivo y equivalentes de efectivo al final del período</t>
  </si>
  <si>
    <r>
      <t xml:space="preserve">Flujo de Efectivo </t>
    </r>
    <r>
      <rPr>
        <b/>
        <sz val="8"/>
        <color theme="0"/>
        <rFont val="Calibri Light"/>
        <family val="2"/>
        <scheme val="major"/>
      </rPr>
      <t>(miles de pesos)</t>
    </r>
  </si>
  <si>
    <t>-</t>
  </si>
  <si>
    <t>ACTIVIDADES DE OPERACIÓN</t>
  </si>
  <si>
    <t>ACTIVIDADES DE INVERSIÓN</t>
  </si>
  <si>
    <t>ACTIVIDADES DE FINANCIAMIENTO</t>
  </si>
  <si>
    <t>6M19</t>
  </si>
  <si>
    <t>9M19</t>
  </si>
  <si>
    <t>3M19</t>
  </si>
  <si>
    <t>3M11</t>
  </si>
  <si>
    <t>6M11</t>
  </si>
  <si>
    <t>9M11</t>
  </si>
  <si>
    <t>3M12</t>
  </si>
  <si>
    <t>6M12</t>
  </si>
  <si>
    <t>9M12</t>
  </si>
  <si>
    <t>3M13</t>
  </si>
  <si>
    <t>6M13</t>
  </si>
  <si>
    <t>9M13</t>
  </si>
  <si>
    <t>3M14</t>
  </si>
  <si>
    <t>6M14</t>
  </si>
  <si>
    <t>9M14</t>
  </si>
  <si>
    <t>3M15</t>
  </si>
  <si>
    <t>6M15</t>
  </si>
  <si>
    <t>9M15</t>
  </si>
  <si>
    <t>3M16</t>
  </si>
  <si>
    <t>6M16</t>
  </si>
  <si>
    <t>9M16</t>
  </si>
  <si>
    <t>3M17</t>
  </si>
  <si>
    <t>6M17</t>
  </si>
  <si>
    <t>9M17</t>
  </si>
  <si>
    <t>3M18</t>
  </si>
  <si>
    <t>6M18</t>
  </si>
  <si>
    <t>9M18</t>
  </si>
  <si>
    <t>1T11</t>
  </si>
  <si>
    <t>1T12</t>
  </si>
  <si>
    <t>1T13</t>
  </si>
  <si>
    <t>1T14</t>
  </si>
  <si>
    <t>2T11</t>
  </si>
  <si>
    <t>2T12</t>
  </si>
  <si>
    <t>2T13</t>
  </si>
  <si>
    <t>3T11</t>
  </si>
  <si>
    <t>3T12</t>
  </si>
  <si>
    <t>3T13</t>
  </si>
  <si>
    <t>4T11</t>
  </si>
  <si>
    <t>4T12</t>
  </si>
  <si>
    <t>4T13</t>
  </si>
  <si>
    <t>Glosario</t>
  </si>
  <si>
    <t>NOI:</t>
  </si>
  <si>
    <t>El ingreso operativo neto se calcula sustrayendo al ingreso operativo de las propiedades los gastos de operación, mantenimiento,predial, seguro y partidas no recurrentes; excluyendo ingresos/gastos financieros y cuota de administración.</t>
  </si>
  <si>
    <t>FFO:</t>
  </si>
  <si>
    <t>Los fondos provenientes de la operación. Se obtienen de eliminar los efectos de partidas que no requieren efectivo al sumar o restar a la utilidad neta consolidada los siguientes conceptos: 1) Ajustes al valor razonable 2) variación de tipo de cambio 3) efecto de valuación de instrumentos financieros 4) amortización de comisiones bancarias 5) provisión bono ejecutivo 6) amortización de plataforma administrativa 7) participación no controlada por FUNO y 8) partidas no recurrentes.</t>
  </si>
  <si>
    <t>AFFO:</t>
  </si>
  <si>
    <t>Se obtiene de ajustar al FFO sumando o restando 1) la utilidad en venta de propiedades de inversión y restar el 2) CAPEX de mantenimiento.</t>
  </si>
  <si>
    <t>Valor neto de los activos (NAV):</t>
  </si>
  <si>
    <t>Es el “valor razonable de mercado” de todos los activos de la compañía. Incluido, pero no limitado a sus propiedades después de restados los pasivos y obligaciones. Para la valuación de propiedades de inversión utilizamos capitalización de rentas, costo de reposición o transacciones comparables; adicionalmente los desarrollos y terrenos se encuentran valuados a costo.</t>
  </si>
  <si>
    <t>Capitalización de intereses:</t>
  </si>
  <si>
    <t>Es la asignación del monto de interés del período que corresponda a la parte de la deuda utilizada para el desarrollo.</t>
  </si>
  <si>
    <t>Fondos disponibles para distribución:</t>
  </si>
  <si>
    <t>Para FUNO, el fondo disponible para la distribución es equivalente al AFFO del trimestre; no obstante el mínimo requerido porley es el equivalente al 95% del ejercicio fiscal.</t>
  </si>
  <si>
    <t>Valor razonable de propiedades de inversión:</t>
  </si>
  <si>
    <t xml:space="preserve">Ajuste al valor razonable: </t>
  </si>
  <si>
    <t>Es el resultado de las variaciones en el valor razonable de las propiedades de inversión en el período.</t>
  </si>
  <si>
    <t>Es determinado una vez al añomediante el estudio de un tercero independiente. Dicho estudio considera tres principales metodologías de evaluación: 1) Valor de reposición del inmueble 2) valor en transacciones de propiedades comparables y 3) capitalización de rentas. No siendo un promedio de las tres sino considerando ponderaciones diferentes dependiendo las condiciones especificas de cada propiedad.</t>
  </si>
  <si>
    <t>Desarrollos:</t>
  </si>
  <si>
    <t>Proyectos en fase de construcción.</t>
  </si>
  <si>
    <t>Propiedades en Operación:</t>
  </si>
  <si>
    <t>Se refiere a las propiedades que forman parte del portfolio operativo; Incluye también propiedades categorizadas como “In Service”.</t>
  </si>
  <si>
    <t>Número de Operaciones:</t>
  </si>
  <si>
    <t>Cambios en contratos o Leasing Spreads:</t>
  </si>
  <si>
    <t>Propiedades constantes:</t>
  </si>
  <si>
    <t>Propiedades In Service o transición:</t>
  </si>
  <si>
    <t>Se define como los diferentes usos de una misma propiedad de acuerdo al segmento de negocio. La compañía cuenta con propiedades de uso mixto y que por conveniencia funcional es necesario contar con diferentes operadores. Ejemplo. Samara cuenta con un operador para el corporativo de oficinas y otro para el centro comercial y hotel.</t>
  </si>
  <si>
    <t>Considera el cambio en precio por metro cuadrado de renta de los contratos que tuvieron modificaciones, producto de una renovación a las condiciones anteriores de contrato; considerando únicamente renta fija.</t>
  </si>
  <si>
    <t>Compara el desempeño de ingresos, precio por metro cuadrado, área bruta rentable y ocupación de propiedades constantes a través del tiempo. Considerando renta fija + variable.</t>
  </si>
  <si>
    <t>Con el propósito de crear mayor claridad en la ocupación de propiedades; se ha decidido incorporar una nueva clasificación a las mismas. Serán consideradas propiedades “In Service” las que cumplan con las siguientes condiciones:
1. Propiedades que se encontraban en etapa de desarrollo y que su fecha de terminación de obra se encuentra en el periodo del trimestre reportado.
2. Propiedades en operación que interrumpieron la misma, en un porcentaje mayor al 75%, con el fin de ser remodelada por un período mayor a 1 año.
3. Propiedades adquiridas durante el trimestre que cuentan con una ocupación menor al 25%.
Nota: Aquellas propiedades que se encuentran en desarrollo y que a su fecha de terminación de obra cuenten con un pre‐leasing igual o mayor al 90% (ej. Build to suit) pasarán directo a operación.
El criterio de tiempos de estabilización para cada segmento es el siguiente:
• Industrial: 12 meses
• Comercial: 18 meses
• Oficinas: 24 meses
Después de los tiempos mencionados, las propiedades pasarán automáticamente a operación.</t>
  </si>
  <si>
    <t>$/m2/mes implícito</t>
  </si>
  <si>
    <t>Ingresos del segmento (millones, pesos)</t>
  </si>
  <si>
    <t>Propiedades Constantes</t>
  </si>
  <si>
    <t>$ -</t>
  </si>
  <si>
    <t>$ ‐</t>
  </si>
  <si>
    <r>
      <t xml:space="preserve">Reconciliación EBITDA </t>
    </r>
    <r>
      <rPr>
        <b/>
        <sz val="8"/>
        <color theme="0"/>
        <rFont val="Calibri Light"/>
        <family val="2"/>
        <scheme val="major"/>
      </rPr>
      <t>(miles de pesos)</t>
    </r>
  </si>
  <si>
    <r>
      <t xml:space="preserve">Reconciliación AFFO </t>
    </r>
    <r>
      <rPr>
        <b/>
        <sz val="8"/>
        <color theme="0"/>
        <rFont val="Calibri Light"/>
        <family val="2"/>
        <scheme val="major"/>
      </rPr>
      <t>(miles de pesos)</t>
    </r>
  </si>
  <si>
    <t>‐</t>
  </si>
  <si>
    <t>3,228,44</t>
  </si>
  <si>
    <t>(1) Número de propiedades por tipo de operación.</t>
  </si>
  <si>
    <t>Nota: El leasing spread se calcula exclusivamente sobre los contratos de arrendamiento que son renovados durante el trimestre.</t>
  </si>
  <si>
    <t>Nota: Los números de propiedades constantes se calculan exclusivamente sobre las propiedades que existen tanto en el portafolio de ese período como en el portafolio del período equivalente del año anterior.</t>
  </si>
  <si>
    <t>Regreso al índice</t>
  </si>
  <si>
    <t>Comercial</t>
  </si>
  <si>
    <t>1Q14</t>
  </si>
  <si>
    <t>2Q14</t>
  </si>
  <si>
    <t>3Q14</t>
  </si>
  <si>
    <t>4Q14</t>
  </si>
  <si>
    <t>1Q15</t>
  </si>
  <si>
    <t>2Q15</t>
  </si>
  <si>
    <t>3Q15</t>
  </si>
  <si>
    <t>4Q15</t>
  </si>
  <si>
    <t>1Q16</t>
  </si>
  <si>
    <t>2Q16</t>
  </si>
  <si>
    <t>3Q16</t>
  </si>
  <si>
    <t>4Q16</t>
  </si>
  <si>
    <t>1Q17</t>
  </si>
  <si>
    <t>2Q17</t>
  </si>
  <si>
    <t>3Q17</t>
  </si>
  <si>
    <t>4Q17</t>
  </si>
  <si>
    <t>1Q18</t>
  </si>
  <si>
    <t>2Q18</t>
  </si>
  <si>
    <t>3Q18</t>
  </si>
  <si>
    <t>4Q18</t>
  </si>
  <si>
    <t>1Q19</t>
  </si>
  <si>
    <t>2Q19</t>
  </si>
  <si>
    <t>3Q19</t>
  </si>
  <si>
    <t>4Q19</t>
  </si>
  <si>
    <t>Nota: Algunas propiedades fueron reclasificadas, por lo que este número no siempre es comparable con el período inmediato anterior. En el 4T19, las siguientes propiedades fueron movidas al segmento "Otros": hoteles, universidades, sucursales bancarias y un hospital. Para el dato de Ingresos del segmento y $/m2/mes, se siguen considerando únicamente 3 segmentos por el momento.</t>
  </si>
  <si>
    <t>1Q20</t>
  </si>
  <si>
    <t>2Q20</t>
  </si>
  <si>
    <t>3Q20</t>
  </si>
  <si>
    <t>4Q20</t>
  </si>
  <si>
    <t>1T20</t>
  </si>
  <si>
    <t>2T20</t>
  </si>
  <si>
    <t>3T20</t>
  </si>
  <si>
    <t>4T20</t>
  </si>
  <si>
    <t>Gastos de Administración</t>
  </si>
  <si>
    <t>Efectivo y equivalentes en efectivo</t>
  </si>
  <si>
    <t>3M20</t>
  </si>
  <si>
    <t>6M20</t>
  </si>
  <si>
    <t>9M20</t>
  </si>
  <si>
    <t>Depósitos de seriedad para la compra o venta de propiedades de inversión</t>
  </si>
  <si>
    <t>Reservas por apoyos COVID-19</t>
  </si>
  <si>
    <t>- Gastos de Administracion</t>
  </si>
  <si>
    <t>Cuentas por pagar por adquisición de propiedades de inversión</t>
  </si>
  <si>
    <t>Reserva para la recompra de CBFI´s</t>
  </si>
  <si>
    <t>Fluctuació cambiaria no Realizada (Efecto de partidas no realizadas)</t>
  </si>
  <si>
    <t>Costo por préstamos capitalizados en propiedades de inversión</t>
  </si>
  <si>
    <t>Instrumentos Financieros Derivados</t>
  </si>
  <si>
    <t>Rembolso a Asociadas</t>
  </si>
  <si>
    <t>1Q21</t>
  </si>
  <si>
    <t>1T21</t>
  </si>
  <si>
    <t>3M21</t>
  </si>
  <si>
    <t>2Q21</t>
  </si>
  <si>
    <t>2T21</t>
  </si>
  <si>
    <t>Derechos de Arrendamiento</t>
  </si>
  <si>
    <t>6M21</t>
  </si>
  <si>
    <t>Adqusición de Inversiones en Instrumentos Financieros a LP</t>
  </si>
  <si>
    <t>3Q21</t>
  </si>
  <si>
    <t>3T21</t>
  </si>
  <si>
    <t>9M21</t>
  </si>
  <si>
    <t>4Q21</t>
  </si>
  <si>
    <t>4T21</t>
  </si>
  <si>
    <t>Depositos de los arrendatarios</t>
  </si>
  <si>
    <t>Efectos por valuacion actuarial- planes de beneficios</t>
  </si>
  <si>
    <t>Efecto de valuación actuarial por obligaciones laborales</t>
  </si>
  <si>
    <t>1Q22</t>
  </si>
  <si>
    <t>1T22</t>
  </si>
  <si>
    <t>Prestamos por cobrar</t>
  </si>
  <si>
    <t xml:space="preserve">Pasivos acumulados </t>
  </si>
  <si>
    <t>Cuentas por pagar a partes relacionadas</t>
  </si>
  <si>
    <t>3M22</t>
  </si>
  <si>
    <t>Otras partidas no monetarias</t>
  </si>
  <si>
    <t>Derechos de arrendamiento</t>
  </si>
  <si>
    <t>Anticipos y adquisiciones de propiedades de inversión</t>
  </si>
  <si>
    <t>Recuperación de seguros</t>
  </si>
  <si>
    <t>Préstamos por cobrar</t>
  </si>
  <si>
    <t>2Q22</t>
  </si>
  <si>
    <t>2T22</t>
  </si>
  <si>
    <t>6M22</t>
  </si>
  <si>
    <t>Amortizaciones y Provisiones de gastos</t>
  </si>
  <si>
    <t>3T22</t>
  </si>
  <si>
    <t>9M22</t>
  </si>
  <si>
    <t>Utilidad en Compra Prop Invers</t>
  </si>
  <si>
    <t>- Utilidad en Compra Prop Invers</t>
  </si>
  <si>
    <t>Utilidad Neta Consolidada</t>
  </si>
  <si>
    <t>2021(A)</t>
  </si>
  <si>
    <t>2020 (A)</t>
  </si>
  <si>
    <t>2019 (A)</t>
  </si>
  <si>
    <t>2018 (A)</t>
  </si>
  <si>
    <t>2017 (A)</t>
  </si>
  <si>
    <t>2016 (A)</t>
  </si>
  <si>
    <t>2015 (A)</t>
  </si>
  <si>
    <t>2014 (A)</t>
  </si>
  <si>
    <t>2013 (A)</t>
  </si>
  <si>
    <t>2012 (A)</t>
  </si>
  <si>
    <t>2011 (A)</t>
  </si>
  <si>
    <t>3Q22</t>
  </si>
  <si>
    <t>4Q22</t>
  </si>
  <si>
    <t>4T22</t>
  </si>
  <si>
    <t>Activos financieros de propiedades</t>
  </si>
  <si>
    <t xml:space="preserve">Instrumentos financieros derivados </t>
  </si>
  <si>
    <t>Ingresos de activos financieros de propiedades</t>
  </si>
  <si>
    <t xml:space="preserve">Ajuste al valor razonable de propiedades de inversión, 
activos financieros de propiedades y de inversiones en asociadas </t>
  </si>
  <si>
    <t xml:space="preserve">Valuación de instrumentos financieros derivados en cobertura de flujo de efectivo / Valuación actuarial </t>
  </si>
  <si>
    <t>Préstamos otorgados</t>
  </si>
  <si>
    <t>Pagos de préstamos otorgados</t>
  </si>
  <si>
    <t>Inversiones en asociadas</t>
  </si>
  <si>
    <t>1Q23</t>
  </si>
  <si>
    <t xml:space="preserve">Torre Mayor y Torre Diana representan 147,971 m2 de nuestros m2 de oficinas </t>
  </si>
  <si>
    <t>1T23</t>
  </si>
  <si>
    <t>2022(A)</t>
  </si>
  <si>
    <t>2T23</t>
  </si>
  <si>
    <t>3T23</t>
  </si>
  <si>
    <t>4T23</t>
  </si>
  <si>
    <t>2011(A)</t>
  </si>
  <si>
    <t>2012(A)</t>
  </si>
  <si>
    <t>2013(A)</t>
  </si>
  <si>
    <t>2014(A)</t>
  </si>
  <si>
    <t>2015(A)</t>
  </si>
  <si>
    <t>2016(A)</t>
  </si>
  <si>
    <t>2017(A)</t>
  </si>
  <si>
    <t>2018(A)</t>
  </si>
  <si>
    <t>2019(A)</t>
  </si>
  <si>
    <t>2020(A)</t>
  </si>
  <si>
    <t>Inversiones en Instrumentos financieros</t>
  </si>
  <si>
    <t>3M23</t>
  </si>
  <si>
    <t>6M23</t>
  </si>
  <si>
    <t>9M23</t>
  </si>
  <si>
    <t>2Q23</t>
  </si>
  <si>
    <t>Ganancia (pérdida) cambiaria, Neta</t>
  </si>
  <si>
    <t>Utilidad (pérdida) neta consolidada</t>
  </si>
  <si>
    <t>Otros resultados integrales: Partidas que serán reclasificadasposteriormente a resultados (pérdida) ganancia en valuación de instrumentos financierso</t>
  </si>
  <si>
    <t>Partidas que no serán reclasificadas posteriormente a resultados (pérdida) ganancia en efectos por valuación actuarial</t>
  </si>
  <si>
    <t>Utilidad (pérdida) integral neta consolidada</t>
  </si>
  <si>
    <t>Gastos por liquidación anticipada de instrumentos financieros</t>
  </si>
  <si>
    <t>Liquidación anticipada de instrumentos financieros</t>
  </si>
  <si>
    <t>+ Gastos financieros por liq. ant. de Instrumentos financieros</t>
  </si>
  <si>
    <t>3Q23</t>
  </si>
  <si>
    <t>Spread vs Inflación P.P 12M</t>
  </si>
  <si>
    <t>4Q23</t>
  </si>
  <si>
    <t>Detalle revelado en los comunicados relacionados con las distribuciones de los ejercicios correspondientes.</t>
  </si>
  <si>
    <t>Spread vs Inflación P.P.  12M</t>
  </si>
  <si>
    <t>2023 (A)</t>
  </si>
  <si>
    <t>1T24</t>
  </si>
  <si>
    <t>2T24</t>
  </si>
  <si>
    <t>3T24</t>
  </si>
  <si>
    <t>4T24</t>
  </si>
  <si>
    <t>2023(A)</t>
  </si>
  <si>
    <t>3M24</t>
  </si>
  <si>
    <t>6M24</t>
  </si>
  <si>
    <t>9M24</t>
  </si>
  <si>
    <t>1Q24</t>
  </si>
  <si>
    <t>Reserva por descuentos OTIS</t>
  </si>
  <si>
    <t>2Q24</t>
  </si>
  <si>
    <t>3Q24</t>
  </si>
  <si>
    <t>n/a</t>
  </si>
  <si>
    <t>Otros Activos</t>
  </si>
  <si>
    <t>Intangibles</t>
  </si>
  <si>
    <t>Adquisicion  de participación no controladora</t>
  </si>
  <si>
    <t>Intereses por pagar</t>
  </si>
  <si>
    <t>Contraprestación Helios</t>
  </si>
  <si>
    <t>4Q24</t>
  </si>
  <si>
    <t>1Q25</t>
  </si>
  <si>
    <t>1T25</t>
  </si>
  <si>
    <t>2024(A)</t>
  </si>
  <si>
    <t>2T25</t>
  </si>
  <si>
    <t>3T25</t>
  </si>
  <si>
    <t>2024 (A)</t>
  </si>
  <si>
    <t>4T25</t>
  </si>
  <si>
    <t>3M25</t>
  </si>
  <si>
    <t>6M25</t>
  </si>
  <si>
    <t>9M25</t>
  </si>
  <si>
    <t>Inversiones en Asociadas y negocio conjunto</t>
  </si>
  <si>
    <t>CBFIs elegibles para distribución</t>
  </si>
  <si>
    <t>** Usando CBFIs fin del periodo/elegibles para distribucion</t>
  </si>
  <si>
    <t>Pasivo a corto plazo</t>
  </si>
  <si>
    <t>Total de pasivo a corto plazo</t>
  </si>
  <si>
    <t>Total de pasivo a largo plazo</t>
  </si>
  <si>
    <t>Patrimonio de los fideicomitentes / fideicomisarios:</t>
  </si>
  <si>
    <t>Utilidades retenidas</t>
  </si>
  <si>
    <t>Total de patrimonio controladora</t>
  </si>
  <si>
    <t>Total de patrimonio de los fideicomitentes / fideicomisarios</t>
  </si>
  <si>
    <t>Total de pasivo y patrimonio de los fideicomitentes / fideicomisarios</t>
  </si>
  <si>
    <t>Pasivo a largo plazo</t>
  </si>
  <si>
    <t>Activo no circulante</t>
  </si>
  <si>
    <t>2Q25</t>
  </si>
  <si>
    <t>3Q25</t>
  </si>
  <si>
    <t>Activos disponible para la venta</t>
  </si>
  <si>
    <t>Efectivo y equivalentes de efectivo</t>
  </si>
  <si>
    <t>Gastos de emision</t>
  </si>
  <si>
    <t>Efectivo restringido LP</t>
  </si>
  <si>
    <t>4Q25</t>
  </si>
  <si>
    <t>(1) Conforme a lo reportado por Fibra NEXT</t>
  </si>
  <si>
    <r>
      <t>Industrial</t>
    </r>
    <r>
      <rPr>
        <vertAlign val="superscript"/>
        <sz val="10"/>
        <color theme="1"/>
        <rFont val="Calibri Light"/>
        <family val="2"/>
        <scheme val="major"/>
      </rPr>
      <t>(1)</t>
    </r>
  </si>
  <si>
    <r>
      <t xml:space="preserve">Ingresos  Anualizados
</t>
    </r>
    <r>
      <rPr>
        <b/>
        <sz val="10"/>
        <color theme="0"/>
        <rFont val="Calibri"/>
        <family val="2"/>
      </rPr>
      <t>Δ</t>
    </r>
    <r>
      <rPr>
        <b/>
        <sz val="10"/>
        <color theme="0"/>
        <rFont val="Calibri Light"/>
        <family val="2"/>
        <scheme val="major"/>
      </rPr>
      <t xml:space="preserve"> QoQ</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</si>
</sst>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1" formatCode="_-* #,##0_-;\-* #,##0_-;_-* &quot;-&quot;_-;_-@_-"/>
    <numFmt numFmtId="43" formatCode="_-* #,##0.00_-;\-* #,##0.00_-;_-* &quot;-&quot;??_-;_-@_-"/>
    <numFmt numFmtId="164" formatCode="_(* #,##0.00_);_(* \(#,##0.00\);_(* &quot;-&quot;??_);_(@_)"/>
    <numFmt numFmtId="165" formatCode="#,##0.0"/>
    <numFmt numFmtId="166" formatCode="0.0"/>
    <numFmt numFmtId="167" formatCode="0.0%"/>
    <numFmt numFmtId="168" formatCode="_-* #,##0.0_-;\-* #,##0.0_-;_-* &quot;-&quot;??_-;_-@_-"/>
    <numFmt numFmtId="169" formatCode="#,##0.0000"/>
    <numFmt numFmtId="170" formatCode="0.0000"/>
    <numFmt numFmtId="171" formatCode="_-* #,##0_-;\-* #,##0_-;_-* &quot;-&quot;??_-;_-@_-"/>
    <numFmt numFmtId="172" formatCode="_-* #,##0.00_-;\-* #,##0.00_-;_-* &quot;-&quot;_-;_-@_-"/>
  </numFmts>
  <fonts count="29" x14ac:knownFonts="1">
    <font>
      <sz val="11"/>
      <color theme="1"/>
      <name val="Calibri"/>
      <family val="2"/>
      <scheme val="minor"/>
    </font>
    <font>
      <sz val="11"/>
      <color theme="1"/>
      <name val="Calibri"/>
      <family val="2"/>
      <scheme val="minor"/>
    </font>
    <font>
      <b/>
      <sz val="11"/>
      <color theme="1"/>
      <name val="Calibri"/>
      <family val="2"/>
      <scheme val="minor"/>
    </font>
    <font>
      <sz val="9"/>
      <color theme="1"/>
      <name val="Calibri Light"/>
      <family val="2"/>
    </font>
    <font>
      <vertAlign val="superscript"/>
      <sz val="9"/>
      <color rgb="FF000000"/>
      <name val="Calibri Light"/>
      <family val="2"/>
    </font>
    <font>
      <sz val="9"/>
      <color rgb="FF000000"/>
      <name val="Calibri Light"/>
      <family val="2"/>
    </font>
    <font>
      <sz val="8"/>
      <color theme="1"/>
      <name val="Calibri Light"/>
      <family val="2"/>
    </font>
    <font>
      <b/>
      <sz val="10"/>
      <color theme="0"/>
      <name val="Calibri Light"/>
      <family val="2"/>
      <scheme val="major"/>
    </font>
    <font>
      <sz val="10"/>
      <color theme="1"/>
      <name val="Calibri Light"/>
      <family val="2"/>
      <scheme val="major"/>
    </font>
    <font>
      <b/>
      <sz val="10"/>
      <color theme="1"/>
      <name val="Calibri Light"/>
      <family val="2"/>
      <scheme val="major"/>
    </font>
    <font>
      <b/>
      <sz val="10"/>
      <color theme="0"/>
      <name val="Calibri"/>
      <family val="2"/>
    </font>
    <font>
      <sz val="9"/>
      <color theme="1"/>
      <name val="Calibri Light"/>
      <family val="2"/>
      <scheme val="major"/>
    </font>
    <font>
      <b/>
      <sz val="9"/>
      <color indexed="81"/>
      <name val="Tahoma"/>
      <family val="2"/>
    </font>
    <font>
      <sz val="9"/>
      <color indexed="81"/>
      <name val="Tahoma"/>
      <family val="2"/>
    </font>
    <font>
      <sz val="11"/>
      <color theme="1"/>
      <name val="Calibri Light"/>
      <family val="2"/>
      <scheme val="major"/>
    </font>
    <font>
      <b/>
      <sz val="9"/>
      <color theme="0"/>
      <name val="Calibri Light"/>
      <family val="2"/>
      <scheme val="major"/>
    </font>
    <font>
      <b/>
      <sz val="8"/>
      <color theme="0"/>
      <name val="Calibri Light"/>
      <family val="2"/>
      <scheme val="major"/>
    </font>
    <font>
      <sz val="8"/>
      <color theme="1"/>
      <name val="Calibri Light"/>
      <family val="2"/>
      <scheme val="major"/>
    </font>
    <font>
      <b/>
      <sz val="9"/>
      <color theme="1"/>
      <name val="Calibri Light"/>
      <family val="2"/>
      <scheme val="major"/>
    </font>
    <font>
      <b/>
      <sz val="8"/>
      <color theme="1"/>
      <name val="Calibri Light"/>
      <family val="2"/>
      <scheme val="major"/>
    </font>
    <font>
      <sz val="8"/>
      <name val="Calibri Light"/>
      <family val="2"/>
      <scheme val="major"/>
    </font>
    <font>
      <b/>
      <sz val="11"/>
      <color theme="1"/>
      <name val="Calibri Light"/>
      <family val="2"/>
      <scheme val="major"/>
    </font>
    <font>
      <u/>
      <sz val="11"/>
      <color theme="10"/>
      <name val="Calibri"/>
      <family val="2"/>
      <scheme val="minor"/>
    </font>
    <font>
      <u/>
      <sz val="11"/>
      <color theme="10"/>
      <name val="Calibri Light"/>
      <family val="2"/>
      <scheme val="major"/>
    </font>
    <font>
      <u/>
      <sz val="8"/>
      <color theme="10"/>
      <name val="Calibri"/>
      <family val="2"/>
      <scheme val="minor"/>
    </font>
    <font>
      <sz val="10"/>
      <color theme="1"/>
      <name val="Calibri Light"/>
      <family val="2"/>
    </font>
    <font>
      <sz val="9"/>
      <name val="Calibri Light"/>
      <family val="2"/>
      <scheme val="major"/>
    </font>
    <font>
      <sz val="9"/>
      <color theme="1"/>
      <name val="Calibri Light"/>
      <family val="2"/>
      <scheme val="major"/>
    </font>
    <font>
      <vertAlign val="superscript"/>
      <sz val="10"/>
      <color theme="1"/>
      <name val="Calibri Light"/>
      <family val="2"/>
      <scheme val="major"/>
    </font>
  </fonts>
  <fills count="10">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E6700"/>
        <bgColor indexed="64"/>
      </patternFill>
    </fill>
    <fill>
      <patternFill patternType="solid">
        <fgColor rgb="FFF05323"/>
        <bgColor indexed="64"/>
      </patternFill>
    </fill>
    <fill>
      <patternFill patternType="solid">
        <fgColor rgb="FFA7A9A9"/>
        <bgColor indexed="64"/>
      </patternFill>
    </fill>
    <fill>
      <patternFill patternType="solid">
        <fgColor theme="0" tint="-4.9989318521683403E-2"/>
        <bgColor indexed="64"/>
      </patternFill>
    </fill>
    <fill>
      <patternFill patternType="solid">
        <fgColor rgb="FF0070C0"/>
        <bgColor indexed="64"/>
      </patternFill>
    </fill>
    <fill>
      <patternFill patternType="solid">
        <fgColor rgb="FFFFFF00"/>
        <bgColor indexed="64"/>
      </patternFill>
    </fill>
  </fills>
  <borders count="19">
    <border>
      <left/>
      <right/>
      <top/>
      <bottom/>
      <diagonal/>
    </border>
    <border>
      <left/>
      <right/>
      <top/>
      <bottom style="thin">
        <color indexed="64"/>
      </bottom>
      <diagonal/>
    </border>
    <border>
      <left/>
      <right/>
      <top/>
      <bottom style="medium">
        <color indexed="64"/>
      </bottom>
      <diagonal/>
    </border>
    <border>
      <left/>
      <right/>
      <top style="thin">
        <color indexed="64"/>
      </top>
      <bottom/>
      <diagonal/>
    </border>
    <border>
      <left/>
      <right/>
      <top style="medium">
        <color indexed="64"/>
      </top>
      <bottom/>
      <diagonal/>
    </border>
    <border>
      <left/>
      <right/>
      <top/>
      <bottom style="double">
        <color indexed="64"/>
      </bottom>
      <diagonal/>
    </border>
    <border>
      <left/>
      <right/>
      <top style="thin">
        <color indexed="64"/>
      </top>
      <bottom style="thin">
        <color indexed="64"/>
      </bottom>
      <diagonal/>
    </border>
    <border>
      <left style="thick">
        <color theme="0"/>
      </left>
      <right style="thick">
        <color theme="0"/>
      </right>
      <top style="thick">
        <color theme="0"/>
      </top>
      <bottom style="thick">
        <color theme="0"/>
      </bottom>
      <diagonal/>
    </border>
    <border>
      <left style="thick">
        <color theme="0"/>
      </left>
      <right/>
      <top style="thick">
        <color theme="0"/>
      </top>
      <bottom style="thick">
        <color theme="0"/>
      </bottom>
      <diagonal/>
    </border>
    <border>
      <left/>
      <right style="thick">
        <color theme="0"/>
      </right>
      <top/>
      <bottom/>
      <diagonal/>
    </border>
    <border>
      <left style="thick">
        <color theme="0"/>
      </left>
      <right style="thick">
        <color theme="0"/>
      </right>
      <top/>
      <bottom/>
      <diagonal/>
    </border>
    <border>
      <left style="thick">
        <color theme="0"/>
      </left>
      <right/>
      <top/>
      <bottom/>
      <diagonal/>
    </border>
    <border>
      <left/>
      <right style="thick">
        <color theme="0"/>
      </right>
      <top style="thin">
        <color auto="1"/>
      </top>
      <bottom/>
      <diagonal/>
    </border>
    <border>
      <left style="thick">
        <color theme="0"/>
      </left>
      <right style="thick">
        <color theme="0"/>
      </right>
      <top style="thin">
        <color auto="1"/>
      </top>
      <bottom/>
      <diagonal/>
    </border>
    <border>
      <left style="thick">
        <color theme="0"/>
      </left>
      <right/>
      <top style="thin">
        <color auto="1"/>
      </top>
      <bottom/>
      <diagonal/>
    </border>
    <border>
      <left/>
      <right/>
      <top style="double">
        <color auto="1"/>
      </top>
      <bottom/>
      <diagonal/>
    </border>
    <border>
      <left/>
      <right/>
      <top style="thick">
        <color theme="0"/>
      </top>
      <bottom style="thick">
        <color theme="0"/>
      </bottom>
      <diagonal/>
    </border>
    <border>
      <left/>
      <right style="thick">
        <color theme="0"/>
      </right>
      <top style="thick">
        <color theme="0"/>
      </top>
      <bottom style="thick">
        <color theme="0"/>
      </bottom>
      <diagonal/>
    </border>
    <border>
      <left style="thick">
        <color theme="0"/>
      </left>
      <right style="thick">
        <color theme="0"/>
      </right>
      <top style="thick">
        <color theme="0"/>
      </top>
      <bottom/>
      <diagonal/>
    </border>
  </borders>
  <cellStyleXfs count="5">
    <xf numFmtId="0" fontId="0" fillId="0" borderId="0"/>
    <xf numFmtId="164" fontId="1" fillId="0" borderId="0" applyFont="0" applyFill="0" applyBorder="0" applyAlignment="0" applyProtection="0"/>
    <xf numFmtId="9" fontId="1" fillId="0" borderId="0" applyFont="0" applyFill="0" applyBorder="0" applyAlignment="0" applyProtection="0"/>
    <xf numFmtId="0" fontId="1" fillId="0" borderId="0"/>
    <xf numFmtId="0" fontId="22" fillId="0" borderId="0" applyNumberFormat="0" applyFill="0" applyBorder="0" applyAlignment="0" applyProtection="0"/>
  </cellStyleXfs>
  <cellXfs count="193">
    <xf numFmtId="0" fontId="0" fillId="0" borderId="0" xfId="0"/>
    <xf numFmtId="0" fontId="0" fillId="2" borderId="0" xfId="0" applyFill="1"/>
    <xf numFmtId="0" fontId="3" fillId="2" borderId="0" xfId="0" applyFont="1" applyFill="1" applyAlignment="1">
      <alignment horizontal="right" vertical="center"/>
    </xf>
    <xf numFmtId="165" fontId="3" fillId="2" borderId="0" xfId="0" applyNumberFormat="1" applyFont="1" applyFill="1" applyAlignment="1">
      <alignment horizontal="right" vertical="center"/>
    </xf>
    <xf numFmtId="166" fontId="3" fillId="2" borderId="0" xfId="0" applyNumberFormat="1" applyFont="1" applyFill="1" applyAlignment="1">
      <alignment horizontal="right" vertical="center"/>
    </xf>
    <xf numFmtId="167" fontId="3" fillId="2" borderId="1" xfId="0" applyNumberFormat="1" applyFont="1" applyFill="1" applyBorder="1" applyAlignment="1">
      <alignment horizontal="right" vertical="center"/>
    </xf>
    <xf numFmtId="3" fontId="3" fillId="2" borderId="0" xfId="0" applyNumberFormat="1" applyFont="1" applyFill="1" applyAlignment="1">
      <alignment horizontal="right" vertical="center"/>
    </xf>
    <xf numFmtId="0" fontId="0" fillId="2" borderId="0" xfId="0" applyFill="1" applyAlignment="1">
      <alignment horizontal="right"/>
    </xf>
    <xf numFmtId="0" fontId="0" fillId="2" borderId="0" xfId="0" applyFill="1" applyAlignment="1">
      <alignment horizontal="left"/>
    </xf>
    <xf numFmtId="0" fontId="7" fillId="4" borderId="1" xfId="0" applyFont="1" applyFill="1" applyBorder="1" applyAlignment="1">
      <alignment horizontal="center" vertical="center" wrapText="1"/>
    </xf>
    <xf numFmtId="0" fontId="9" fillId="3" borderId="6" xfId="0" applyFont="1" applyFill="1" applyBorder="1"/>
    <xf numFmtId="167" fontId="9" fillId="3" borderId="6" xfId="2" applyNumberFormat="1" applyFont="1" applyFill="1" applyBorder="1" applyAlignment="1">
      <alignment horizontal="center"/>
    </xf>
    <xf numFmtId="167" fontId="9" fillId="3" borderId="6" xfId="0" applyNumberFormat="1" applyFont="1" applyFill="1" applyBorder="1" applyAlignment="1">
      <alignment horizontal="center"/>
    </xf>
    <xf numFmtId="167" fontId="8" fillId="2" borderId="0" xfId="2" applyNumberFormat="1" applyFont="1" applyFill="1" applyBorder="1" applyAlignment="1">
      <alignment horizontal="center"/>
    </xf>
    <xf numFmtId="0" fontId="8" fillId="2" borderId="0" xfId="0" applyFont="1" applyFill="1"/>
    <xf numFmtId="3" fontId="8" fillId="2" borderId="0" xfId="0" applyNumberFormat="1" applyFont="1" applyFill="1" applyAlignment="1">
      <alignment horizontal="center"/>
    </xf>
    <xf numFmtId="0" fontId="7" fillId="4" borderId="4"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7" fillId="2" borderId="1" xfId="0" applyFont="1" applyFill="1" applyBorder="1" applyAlignment="1">
      <alignment horizontal="center" vertical="center" wrapText="1"/>
    </xf>
    <xf numFmtId="167" fontId="9" fillId="2" borderId="6" xfId="0" applyNumberFormat="1" applyFont="1" applyFill="1" applyBorder="1" applyAlignment="1">
      <alignment horizontal="center"/>
    </xf>
    <xf numFmtId="167" fontId="0" fillId="2" borderId="0" xfId="0" applyNumberFormat="1" applyFill="1"/>
    <xf numFmtId="167" fontId="8" fillId="2" borderId="0" xfId="0" applyNumberFormat="1" applyFont="1" applyFill="1" applyAlignment="1">
      <alignment horizontal="center"/>
    </xf>
    <xf numFmtId="0" fontId="2" fillId="2" borderId="0" xfId="0" applyFont="1" applyFill="1"/>
    <xf numFmtId="0" fontId="11" fillId="2" borderId="0" xfId="0" applyFont="1" applyFill="1"/>
    <xf numFmtId="169" fontId="11" fillId="2" borderId="0" xfId="0" applyNumberFormat="1" applyFont="1" applyFill="1"/>
    <xf numFmtId="0" fontId="11" fillId="2" borderId="4" xfId="0" applyFont="1" applyFill="1" applyBorder="1"/>
    <xf numFmtId="165" fontId="11" fillId="2" borderId="4" xfId="0" applyNumberFormat="1" applyFont="1" applyFill="1" applyBorder="1"/>
    <xf numFmtId="0" fontId="11" fillId="2" borderId="2" xfId="0" applyFont="1" applyFill="1" applyBorder="1"/>
    <xf numFmtId="165" fontId="11" fillId="2" borderId="2" xfId="0" applyNumberFormat="1" applyFont="1" applyFill="1" applyBorder="1"/>
    <xf numFmtId="0" fontId="11" fillId="0" borderId="0" xfId="0" applyFont="1"/>
    <xf numFmtId="0" fontId="14" fillId="0" borderId="0" xfId="0" applyFont="1"/>
    <xf numFmtId="0" fontId="15" fillId="5" borderId="0" xfId="3" applyFont="1" applyFill="1"/>
    <xf numFmtId="0" fontId="15" fillId="6" borderId="7" xfId="0" applyFont="1" applyFill="1" applyBorder="1" applyAlignment="1">
      <alignment horizontal="center"/>
    </xf>
    <xf numFmtId="0" fontId="15" fillId="6" borderId="8" xfId="0" applyFont="1" applyFill="1" applyBorder="1" applyAlignment="1">
      <alignment horizontal="center"/>
    </xf>
    <xf numFmtId="0" fontId="15" fillId="5" borderId="7" xfId="0" quotePrefix="1" applyFont="1" applyFill="1" applyBorder="1" applyAlignment="1">
      <alignment horizontal="center"/>
    </xf>
    <xf numFmtId="0" fontId="15" fillId="5" borderId="8" xfId="0" applyFont="1" applyFill="1" applyBorder="1" applyAlignment="1">
      <alignment horizontal="center"/>
    </xf>
    <xf numFmtId="3" fontId="17" fillId="2" borderId="0" xfId="0" applyNumberFormat="1" applyFont="1" applyFill="1"/>
    <xf numFmtId="3" fontId="19" fillId="2" borderId="13" xfId="0" applyNumberFormat="1" applyFont="1" applyFill="1" applyBorder="1"/>
    <xf numFmtId="3" fontId="17" fillId="2" borderId="10" xfId="0" applyNumberFormat="1" applyFont="1" applyFill="1" applyBorder="1"/>
    <xf numFmtId="3" fontId="17" fillId="2" borderId="11" xfId="0" applyNumberFormat="1" applyFont="1" applyFill="1" applyBorder="1"/>
    <xf numFmtId="41" fontId="17" fillId="2" borderId="10" xfId="0" applyNumberFormat="1" applyFont="1" applyFill="1" applyBorder="1"/>
    <xf numFmtId="9" fontId="17" fillId="2" borderId="0" xfId="2" applyFont="1" applyFill="1"/>
    <xf numFmtId="3" fontId="11" fillId="2" borderId="0" xfId="0" applyNumberFormat="1" applyFont="1" applyFill="1"/>
    <xf numFmtId="170" fontId="11" fillId="2" borderId="0" xfId="0" applyNumberFormat="1" applyFont="1" applyFill="1" applyAlignment="1">
      <alignment horizontal="right"/>
    </xf>
    <xf numFmtId="171" fontId="11" fillId="2" borderId="0" xfId="1" applyNumberFormat="1" applyFont="1" applyFill="1" applyAlignment="1">
      <alignment horizontal="right"/>
    </xf>
    <xf numFmtId="41" fontId="11" fillId="2" borderId="0" xfId="0" applyNumberFormat="1" applyFont="1" applyFill="1"/>
    <xf numFmtId="0" fontId="11" fillId="2" borderId="0" xfId="0" applyFont="1" applyFill="1" applyAlignment="1">
      <alignment horizontal="center"/>
    </xf>
    <xf numFmtId="0" fontId="17" fillId="2" borderId="0" xfId="0" applyFont="1" applyFill="1"/>
    <xf numFmtId="0" fontId="15" fillId="2" borderId="0" xfId="0" applyFont="1" applyFill="1" applyAlignment="1">
      <alignment horizontal="center"/>
    </xf>
    <xf numFmtId="0" fontId="15" fillId="2" borderId="0" xfId="0" quotePrefix="1" applyFont="1" applyFill="1" applyAlignment="1">
      <alignment horizontal="center"/>
    </xf>
    <xf numFmtId="0" fontId="16" fillId="2" borderId="0" xfId="0" applyFont="1" applyFill="1" applyAlignment="1">
      <alignment horizontal="center"/>
    </xf>
    <xf numFmtId="0" fontId="18" fillId="2" borderId="0" xfId="0" applyFont="1" applyFill="1"/>
    <xf numFmtId="171" fontId="17" fillId="2" borderId="0" xfId="1" applyNumberFormat="1" applyFont="1" applyFill="1"/>
    <xf numFmtId="171" fontId="11" fillId="2" borderId="0" xfId="1" applyNumberFormat="1" applyFont="1" applyFill="1"/>
    <xf numFmtId="41" fontId="17" fillId="2" borderId="0" xfId="0" applyNumberFormat="1" applyFont="1" applyFill="1"/>
    <xf numFmtId="41" fontId="17" fillId="2" borderId="0" xfId="0" applyNumberFormat="1" applyFont="1" applyFill="1" applyAlignment="1">
      <alignment horizontal="right"/>
    </xf>
    <xf numFmtId="41" fontId="19" fillId="2" borderId="3" xfId="0" applyNumberFormat="1" applyFont="1" applyFill="1" applyBorder="1"/>
    <xf numFmtId="41" fontId="19" fillId="2" borderId="15" xfId="0" applyNumberFormat="1" applyFont="1" applyFill="1" applyBorder="1"/>
    <xf numFmtId="167" fontId="17" fillId="2" borderId="0" xfId="2" applyNumberFormat="1" applyFont="1" applyFill="1"/>
    <xf numFmtId="167" fontId="11" fillId="2" borderId="0" xfId="2" applyNumberFormat="1" applyFont="1" applyFill="1"/>
    <xf numFmtId="43" fontId="11" fillId="2" borderId="0" xfId="0" applyNumberFormat="1" applyFont="1" applyFill="1"/>
    <xf numFmtId="3" fontId="11" fillId="2" borderId="0" xfId="0" applyNumberFormat="1" applyFont="1" applyFill="1" applyAlignment="1">
      <alignment horizontal="center"/>
    </xf>
    <xf numFmtId="0" fontId="14" fillId="2" borderId="0" xfId="0" applyFont="1" applyFill="1"/>
    <xf numFmtId="3" fontId="17" fillId="2" borderId="9" xfId="0" applyNumberFormat="1" applyFont="1" applyFill="1" applyBorder="1"/>
    <xf numFmtId="3" fontId="19" fillId="2" borderId="12" xfId="0" applyNumberFormat="1" applyFont="1" applyFill="1" applyBorder="1"/>
    <xf numFmtId="0" fontId="17" fillId="2" borderId="9" xfId="0" applyFont="1" applyFill="1" applyBorder="1"/>
    <xf numFmtId="0" fontId="17" fillId="2" borderId="10" xfId="0" applyFont="1" applyFill="1" applyBorder="1"/>
    <xf numFmtId="0" fontId="17" fillId="2" borderId="11" xfId="0" applyFont="1" applyFill="1" applyBorder="1"/>
    <xf numFmtId="0" fontId="11" fillId="2" borderId="0" xfId="0" applyFont="1" applyFill="1" applyAlignment="1">
      <alignment wrapText="1"/>
    </xf>
    <xf numFmtId="3" fontId="19" fillId="2" borderId="14" xfId="0" applyNumberFormat="1" applyFont="1" applyFill="1" applyBorder="1"/>
    <xf numFmtId="3" fontId="19" fillId="2" borderId="9" xfId="0" applyNumberFormat="1" applyFont="1" applyFill="1" applyBorder="1"/>
    <xf numFmtId="3" fontId="19" fillId="2" borderId="10" xfId="0" applyNumberFormat="1" applyFont="1" applyFill="1" applyBorder="1"/>
    <xf numFmtId="167" fontId="17" fillId="2" borderId="9" xfId="2" applyNumberFormat="1" applyFont="1" applyFill="1" applyBorder="1"/>
    <xf numFmtId="167" fontId="17" fillId="2" borderId="10" xfId="2" applyNumberFormat="1" applyFont="1" applyFill="1" applyBorder="1"/>
    <xf numFmtId="167" fontId="17" fillId="2" borderId="11" xfId="2" applyNumberFormat="1" applyFont="1" applyFill="1" applyBorder="1"/>
    <xf numFmtId="3" fontId="20" fillId="2" borderId="11" xfId="0" applyNumberFormat="1" applyFont="1" applyFill="1" applyBorder="1"/>
    <xf numFmtId="41" fontId="19" fillId="2" borderId="9" xfId="0" applyNumberFormat="1" applyFont="1" applyFill="1" applyBorder="1"/>
    <xf numFmtId="41" fontId="19" fillId="2" borderId="10" xfId="0" applyNumberFormat="1" applyFont="1" applyFill="1" applyBorder="1"/>
    <xf numFmtId="41" fontId="17" fillId="2" borderId="9" xfId="0" applyNumberFormat="1" applyFont="1" applyFill="1" applyBorder="1"/>
    <xf numFmtId="41" fontId="19" fillId="2" borderId="12" xfId="0" applyNumberFormat="1" applyFont="1" applyFill="1" applyBorder="1"/>
    <xf numFmtId="41" fontId="19" fillId="2" borderId="13" xfId="0" applyNumberFormat="1" applyFont="1" applyFill="1" applyBorder="1"/>
    <xf numFmtId="41" fontId="19" fillId="2" borderId="11" xfId="0" applyNumberFormat="1" applyFont="1" applyFill="1" applyBorder="1"/>
    <xf numFmtId="170" fontId="17" fillId="2" borderId="0" xfId="0" applyNumberFormat="1" applyFont="1" applyFill="1" applyAlignment="1">
      <alignment horizontal="right"/>
    </xf>
    <xf numFmtId="171" fontId="19" fillId="2" borderId="10" xfId="1" applyNumberFormat="1" applyFont="1" applyFill="1" applyBorder="1"/>
    <xf numFmtId="171" fontId="19" fillId="2" borderId="0" xfId="1" applyNumberFormat="1" applyFont="1" applyFill="1"/>
    <xf numFmtId="38" fontId="11" fillId="2" borderId="0" xfId="0" applyNumberFormat="1" applyFont="1" applyFill="1"/>
    <xf numFmtId="171" fontId="19" fillId="2" borderId="3" xfId="0" applyNumberFormat="1" applyFont="1" applyFill="1" applyBorder="1"/>
    <xf numFmtId="41" fontId="19" fillId="2" borderId="0" xfId="0" applyNumberFormat="1" applyFont="1" applyFill="1"/>
    <xf numFmtId="41" fontId="19" fillId="2" borderId="5" xfId="0" applyNumberFormat="1" applyFont="1" applyFill="1" applyBorder="1"/>
    <xf numFmtId="0" fontId="21" fillId="2" borderId="0" xfId="0" applyFont="1" applyFill="1"/>
    <xf numFmtId="0" fontId="23" fillId="2" borderId="0" xfId="4" applyFont="1" applyFill="1"/>
    <xf numFmtId="3" fontId="0" fillId="2" borderId="0" xfId="0" applyNumberFormat="1" applyFill="1"/>
    <xf numFmtId="0" fontId="3" fillId="7" borderId="0" xfId="0" applyFont="1" applyFill="1" applyAlignment="1">
      <alignment horizontal="right" vertical="center"/>
    </xf>
    <xf numFmtId="168" fontId="3" fillId="7" borderId="0" xfId="1" applyNumberFormat="1" applyFont="1" applyFill="1" applyAlignment="1">
      <alignment horizontal="right" vertical="center"/>
    </xf>
    <xf numFmtId="4" fontId="5" fillId="7" borderId="0" xfId="0" applyNumberFormat="1" applyFont="1" applyFill="1" applyAlignment="1">
      <alignment horizontal="right" vertical="center"/>
    </xf>
    <xf numFmtId="165" fontId="3" fillId="7" borderId="0" xfId="0" applyNumberFormat="1" applyFont="1" applyFill="1" applyAlignment="1">
      <alignment horizontal="right" vertical="center"/>
    </xf>
    <xf numFmtId="41" fontId="3" fillId="7" borderId="0" xfId="0" applyNumberFormat="1" applyFont="1" applyFill="1" applyAlignment="1">
      <alignment horizontal="right" vertical="center"/>
    </xf>
    <xf numFmtId="0" fontId="5" fillId="7" borderId="0" xfId="0" applyFont="1" applyFill="1" applyAlignment="1">
      <alignment horizontal="right" vertical="center"/>
    </xf>
    <xf numFmtId="3" fontId="3" fillId="7" borderId="0" xfId="0" applyNumberFormat="1" applyFont="1" applyFill="1" applyAlignment="1">
      <alignment horizontal="right" vertical="center"/>
    </xf>
    <xf numFmtId="166" fontId="3" fillId="7" borderId="0" xfId="0" applyNumberFormat="1" applyFont="1" applyFill="1" applyAlignment="1">
      <alignment horizontal="right" vertical="center"/>
    </xf>
    <xf numFmtId="167" fontId="3" fillId="7" borderId="5" xfId="0" applyNumberFormat="1" applyFont="1" applyFill="1" applyBorder="1" applyAlignment="1">
      <alignment horizontal="right" vertical="center"/>
    </xf>
    <xf numFmtId="167" fontId="3" fillId="7" borderId="1" xfId="0" applyNumberFormat="1" applyFont="1" applyFill="1" applyBorder="1" applyAlignment="1">
      <alignment horizontal="right" vertical="center"/>
    </xf>
    <xf numFmtId="0" fontId="8" fillId="7" borderId="0" xfId="0" applyFont="1" applyFill="1"/>
    <xf numFmtId="3" fontId="8" fillId="7" borderId="0" xfId="0" applyNumberFormat="1" applyFont="1" applyFill="1" applyAlignment="1">
      <alignment horizontal="center"/>
    </xf>
    <xf numFmtId="167" fontId="8" fillId="7" borderId="0" xfId="2" applyNumberFormat="1" applyFont="1" applyFill="1" applyBorder="1" applyAlignment="1">
      <alignment horizontal="center"/>
    </xf>
    <xf numFmtId="0" fontId="8" fillId="7" borderId="1" xfId="0" applyFont="1" applyFill="1" applyBorder="1"/>
    <xf numFmtId="3" fontId="8" fillId="7" borderId="1" xfId="0" applyNumberFormat="1" applyFont="1" applyFill="1" applyBorder="1" applyAlignment="1">
      <alignment horizontal="center"/>
    </xf>
    <xf numFmtId="167" fontId="8" fillId="7" borderId="1" xfId="2" applyNumberFormat="1" applyFont="1" applyFill="1" applyBorder="1" applyAlignment="1">
      <alignment horizontal="center"/>
    </xf>
    <xf numFmtId="0" fontId="19" fillId="2" borderId="0" xfId="0" applyFont="1" applyFill="1"/>
    <xf numFmtId="0" fontId="17" fillId="2" borderId="0" xfId="0" quotePrefix="1" applyFont="1" applyFill="1"/>
    <xf numFmtId="41" fontId="17" fillId="2" borderId="11" xfId="0" applyNumberFormat="1" applyFont="1" applyFill="1" applyBorder="1"/>
    <xf numFmtId="0" fontId="19" fillId="2" borderId="0" xfId="0" quotePrefix="1" applyFont="1" applyFill="1"/>
    <xf numFmtId="41" fontId="19" fillId="2" borderId="14" xfId="0" applyNumberFormat="1" applyFont="1" applyFill="1" applyBorder="1"/>
    <xf numFmtId="3" fontId="19" fillId="2" borderId="11" xfId="0" applyNumberFormat="1" applyFont="1" applyFill="1" applyBorder="1"/>
    <xf numFmtId="172" fontId="17" fillId="2" borderId="0" xfId="0" applyNumberFormat="1" applyFont="1" applyFill="1"/>
    <xf numFmtId="171" fontId="17" fillId="2" borderId="0" xfId="0" applyNumberFormat="1" applyFont="1" applyFill="1"/>
    <xf numFmtId="0" fontId="16" fillId="5" borderId="0" xfId="3" applyFont="1" applyFill="1" applyAlignment="1">
      <alignment vertical="center" wrapText="1"/>
    </xf>
    <xf numFmtId="0" fontId="17" fillId="2" borderId="0" xfId="0" applyFont="1" applyFill="1" applyAlignment="1">
      <alignment vertical="center" wrapText="1"/>
    </xf>
    <xf numFmtId="0" fontId="17" fillId="2" borderId="16" xfId="0" applyFont="1" applyFill="1" applyBorder="1" applyAlignment="1">
      <alignment vertical="center" wrapText="1"/>
    </xf>
    <xf numFmtId="0" fontId="17" fillId="7" borderId="16" xfId="0" applyFont="1" applyFill="1" applyBorder="1" applyAlignment="1">
      <alignment vertical="center" wrapText="1"/>
    </xf>
    <xf numFmtId="171" fontId="19" fillId="2" borderId="0" xfId="1" applyNumberFormat="1" applyFont="1" applyFill="1" applyAlignment="1">
      <alignment horizontal="right"/>
    </xf>
    <xf numFmtId="171" fontId="17" fillId="2" borderId="0" xfId="1" applyNumberFormat="1" applyFont="1" applyFill="1" applyAlignment="1">
      <alignment horizontal="right"/>
    </xf>
    <xf numFmtId="41" fontId="19" fillId="2" borderId="3" xfId="0" applyNumberFormat="1" applyFont="1" applyFill="1" applyBorder="1" applyAlignment="1">
      <alignment horizontal="right"/>
    </xf>
    <xf numFmtId="0" fontId="17" fillId="2" borderId="0" xfId="0" applyFont="1" applyFill="1" applyAlignment="1">
      <alignment horizontal="right"/>
    </xf>
    <xf numFmtId="3" fontId="17" fillId="2" borderId="0" xfId="0" applyNumberFormat="1" applyFont="1" applyFill="1" applyAlignment="1">
      <alignment horizontal="right"/>
    </xf>
    <xf numFmtId="171" fontId="19" fillId="2" borderId="3" xfId="0" applyNumberFormat="1" applyFont="1" applyFill="1" applyBorder="1" applyAlignment="1">
      <alignment horizontal="right"/>
    </xf>
    <xf numFmtId="0" fontId="11" fillId="2" borderId="0" xfId="0" applyFont="1" applyFill="1" applyAlignment="1">
      <alignment horizontal="right"/>
    </xf>
    <xf numFmtId="41" fontId="19" fillId="2" borderId="0" xfId="0" applyNumberFormat="1" applyFont="1" applyFill="1" applyAlignment="1">
      <alignment horizontal="right"/>
    </xf>
    <xf numFmtId="41" fontId="19" fillId="2" borderId="5" xfId="0" applyNumberFormat="1" applyFont="1" applyFill="1" applyBorder="1" applyAlignment="1">
      <alignment horizontal="right"/>
    </xf>
    <xf numFmtId="0" fontId="6" fillId="2" borderId="0" xfId="0" applyFont="1" applyFill="1" applyAlignment="1">
      <alignment vertical="center"/>
    </xf>
    <xf numFmtId="0" fontId="24" fillId="2" borderId="0" xfId="4" applyFont="1" applyFill="1"/>
    <xf numFmtId="0" fontId="15" fillId="6" borderId="17" xfId="0" applyFont="1" applyFill="1" applyBorder="1" applyAlignment="1">
      <alignment horizontal="center"/>
    </xf>
    <xf numFmtId="0" fontId="15" fillId="5" borderId="8" xfId="0" quotePrefix="1" applyFont="1" applyFill="1" applyBorder="1" applyAlignment="1">
      <alignment horizontal="center"/>
    </xf>
    <xf numFmtId="165" fontId="3" fillId="2" borderId="16" xfId="0" applyNumberFormat="1" applyFont="1" applyFill="1" applyBorder="1" applyAlignment="1">
      <alignment horizontal="right" vertical="center"/>
    </xf>
    <xf numFmtId="4" fontId="5" fillId="2" borderId="16" xfId="0" applyNumberFormat="1" applyFont="1" applyFill="1" applyBorder="1" applyAlignment="1">
      <alignment horizontal="right" vertical="center"/>
    </xf>
    <xf numFmtId="0" fontId="3" fillId="2" borderId="16" xfId="0" applyFont="1" applyFill="1" applyBorder="1" applyAlignment="1">
      <alignment horizontal="right" vertical="center"/>
    </xf>
    <xf numFmtId="41" fontId="3" fillId="2" borderId="16" xfId="0" applyNumberFormat="1" applyFont="1" applyFill="1" applyBorder="1" applyAlignment="1">
      <alignment horizontal="right" vertical="center"/>
    </xf>
    <xf numFmtId="0" fontId="5" fillId="2" borderId="16" xfId="0" applyFont="1" applyFill="1" applyBorder="1" applyAlignment="1">
      <alignment horizontal="right" vertical="center"/>
    </xf>
    <xf numFmtId="1" fontId="3" fillId="2" borderId="16" xfId="0" applyNumberFormat="1" applyFont="1" applyFill="1" applyBorder="1" applyAlignment="1">
      <alignment horizontal="right" vertical="center"/>
    </xf>
    <xf numFmtId="165" fontId="5" fillId="2" borderId="16" xfId="0" applyNumberFormat="1" applyFont="1" applyFill="1" applyBorder="1" applyAlignment="1">
      <alignment horizontal="right" vertical="center"/>
    </xf>
    <xf numFmtId="3" fontId="3" fillId="2" borderId="16" xfId="0" applyNumberFormat="1" applyFont="1" applyFill="1" applyBorder="1" applyAlignment="1">
      <alignment horizontal="right" vertical="center"/>
    </xf>
    <xf numFmtId="3" fontId="5" fillId="2" borderId="16" xfId="0" applyNumberFormat="1" applyFont="1" applyFill="1" applyBorder="1" applyAlignment="1">
      <alignment horizontal="right" vertical="center"/>
    </xf>
    <xf numFmtId="166" fontId="3" fillId="2" borderId="16" xfId="0" applyNumberFormat="1" applyFont="1" applyFill="1" applyBorder="1" applyAlignment="1">
      <alignment horizontal="right" vertical="center"/>
    </xf>
    <xf numFmtId="167" fontId="3" fillId="2" borderId="16" xfId="0" applyNumberFormat="1" applyFont="1" applyFill="1" applyBorder="1" applyAlignment="1">
      <alignment horizontal="right" vertical="center"/>
    </xf>
    <xf numFmtId="167" fontId="3" fillId="2" borderId="16" xfId="2" applyNumberFormat="1" applyFont="1" applyFill="1" applyBorder="1" applyAlignment="1">
      <alignment horizontal="right" vertical="center"/>
    </xf>
    <xf numFmtId="165" fontId="3" fillId="2" borderId="16" xfId="1" applyNumberFormat="1" applyFont="1" applyFill="1" applyBorder="1" applyAlignment="1">
      <alignment horizontal="right" vertical="center"/>
    </xf>
    <xf numFmtId="0" fontId="15" fillId="5" borderId="8" xfId="0" quotePrefix="1" applyFont="1" applyFill="1" applyBorder="1"/>
    <xf numFmtId="165" fontId="3" fillId="2" borderId="16" xfId="0" applyNumberFormat="1" applyFont="1" applyFill="1" applyBorder="1" applyAlignment="1">
      <alignment horizontal="left" vertical="center"/>
    </xf>
    <xf numFmtId="0" fontId="3" fillId="2" borderId="16" xfId="0" applyFont="1" applyFill="1" applyBorder="1" applyAlignment="1">
      <alignment horizontal="left" vertical="center"/>
    </xf>
    <xf numFmtId="3" fontId="3" fillId="2" borderId="16" xfId="0" applyNumberFormat="1" applyFont="1" applyFill="1" applyBorder="1" applyAlignment="1">
      <alignment horizontal="left" vertical="center"/>
    </xf>
    <xf numFmtId="167" fontId="3" fillId="2" borderId="16" xfId="0" applyNumberFormat="1" applyFont="1" applyFill="1" applyBorder="1" applyAlignment="1">
      <alignment horizontal="left" vertical="center"/>
    </xf>
    <xf numFmtId="0" fontId="15" fillId="5" borderId="7" xfId="0" quotePrefix="1" applyFont="1" applyFill="1" applyBorder="1" applyAlignment="1">
      <alignment horizontal="left"/>
    </xf>
    <xf numFmtId="0" fontId="11" fillId="2" borderId="0" xfId="0" applyFont="1" applyFill="1" applyAlignment="1">
      <alignment horizontal="left"/>
    </xf>
    <xf numFmtId="165" fontId="3" fillId="0" borderId="0" xfId="0" applyNumberFormat="1" applyFont="1" applyAlignment="1">
      <alignment horizontal="right" vertical="center"/>
    </xf>
    <xf numFmtId="3" fontId="3" fillId="0" borderId="0" xfId="0" applyNumberFormat="1" applyFont="1" applyAlignment="1">
      <alignment horizontal="right" vertical="center"/>
    </xf>
    <xf numFmtId="166" fontId="3" fillId="0" borderId="0" xfId="0" applyNumberFormat="1" applyFont="1" applyAlignment="1">
      <alignment horizontal="right" vertical="center"/>
    </xf>
    <xf numFmtId="167" fontId="3" fillId="0" borderId="1" xfId="0" applyNumberFormat="1" applyFont="1" applyBorder="1" applyAlignment="1">
      <alignment horizontal="right" vertical="center"/>
    </xf>
    <xf numFmtId="166" fontId="3" fillId="0" borderId="16" xfId="0" applyNumberFormat="1" applyFont="1" applyBorder="1" applyAlignment="1">
      <alignment horizontal="right" vertical="center"/>
    </xf>
    <xf numFmtId="169" fontId="11" fillId="0" borderId="0" xfId="0" applyNumberFormat="1" applyFont="1"/>
    <xf numFmtId="167" fontId="17" fillId="2" borderId="0" xfId="2" applyNumberFormat="1" applyFont="1" applyFill="1" applyBorder="1"/>
    <xf numFmtId="3" fontId="17" fillId="0" borderId="0" xfId="0" applyNumberFormat="1" applyFont="1"/>
    <xf numFmtId="0" fontId="15" fillId="6" borderId="18" xfId="0" applyFont="1" applyFill="1" applyBorder="1" applyAlignment="1">
      <alignment horizontal="center"/>
    </xf>
    <xf numFmtId="165" fontId="11" fillId="2" borderId="0" xfId="0" applyNumberFormat="1" applyFont="1" applyFill="1"/>
    <xf numFmtId="41" fontId="17" fillId="0" borderId="0" xfId="0" applyNumberFormat="1" applyFont="1"/>
    <xf numFmtId="0" fontId="15" fillId="8" borderId="8" xfId="0" quotePrefix="1" applyFont="1" applyFill="1" applyBorder="1" applyAlignment="1">
      <alignment horizontal="center"/>
    </xf>
    <xf numFmtId="0" fontId="15" fillId="8" borderId="8" xfId="0" applyFont="1" applyFill="1" applyBorder="1" applyAlignment="1">
      <alignment horizontal="center"/>
    </xf>
    <xf numFmtId="0" fontId="15" fillId="8" borderId="7" xfId="0" quotePrefix="1" applyFont="1" applyFill="1" applyBorder="1" applyAlignment="1">
      <alignment horizontal="center"/>
    </xf>
    <xf numFmtId="17" fontId="15" fillId="6" borderId="7" xfId="0" applyNumberFormat="1" applyFont="1" applyFill="1" applyBorder="1" applyAlignment="1">
      <alignment horizontal="center"/>
    </xf>
    <xf numFmtId="0" fontId="11" fillId="2" borderId="0" xfId="0" quotePrefix="1" applyFont="1" applyFill="1"/>
    <xf numFmtId="3" fontId="19" fillId="2" borderId="0" xfId="0" applyNumberFormat="1" applyFont="1" applyFill="1"/>
    <xf numFmtId="3" fontId="25" fillId="0" borderId="3" xfId="0" applyNumberFormat="1" applyFont="1" applyBorder="1" applyAlignment="1">
      <alignment horizontal="center"/>
    </xf>
    <xf numFmtId="3" fontId="25" fillId="0" borderId="0" xfId="0" applyNumberFormat="1" applyFont="1" applyAlignment="1">
      <alignment horizontal="center"/>
    </xf>
    <xf numFmtId="0" fontId="11" fillId="2" borderId="0" xfId="0" applyFont="1" applyFill="1" applyAlignment="1">
      <alignment vertical="center"/>
    </xf>
    <xf numFmtId="3" fontId="17" fillId="2" borderId="9" xfId="0" applyNumberFormat="1" applyFont="1" applyFill="1" applyBorder="1" applyAlignment="1">
      <alignment vertical="center"/>
    </xf>
    <xf numFmtId="3" fontId="17" fillId="2" borderId="10" xfId="0" applyNumberFormat="1" applyFont="1" applyFill="1" applyBorder="1" applyAlignment="1">
      <alignment vertical="center"/>
    </xf>
    <xf numFmtId="3" fontId="17" fillId="2" borderId="11" xfId="0" applyNumberFormat="1" applyFont="1" applyFill="1" applyBorder="1" applyAlignment="1">
      <alignment vertical="center"/>
    </xf>
    <xf numFmtId="3" fontId="17" fillId="2" borderId="0" xfId="0" applyNumberFormat="1" applyFont="1" applyFill="1" applyAlignment="1">
      <alignment vertical="center"/>
    </xf>
    <xf numFmtId="3" fontId="17" fillId="0" borderId="10" xfId="0" applyNumberFormat="1" applyFont="1" applyBorder="1" applyAlignment="1">
      <alignment vertical="center"/>
    </xf>
    <xf numFmtId="0" fontId="11" fillId="0" borderId="0" xfId="0" applyFont="1" applyAlignment="1">
      <alignment vertical="center" wrapText="1"/>
    </xf>
    <xf numFmtId="3" fontId="17" fillId="0" borderId="11" xfId="0" applyNumberFormat="1" applyFont="1" applyBorder="1"/>
    <xf numFmtId="3" fontId="17" fillId="0" borderId="10" xfId="0" applyNumberFormat="1" applyFont="1" applyBorder="1"/>
    <xf numFmtId="171" fontId="17" fillId="0" borderId="0" xfId="1" applyNumberFormat="1" applyFont="1" applyFill="1"/>
    <xf numFmtId="0" fontId="26" fillId="2" borderId="0" xfId="0" applyFont="1" applyFill="1"/>
    <xf numFmtId="0" fontId="17" fillId="0" borderId="0" xfId="0" quotePrefix="1" applyFont="1"/>
    <xf numFmtId="164" fontId="11" fillId="2" borderId="0" xfId="1" applyFont="1" applyFill="1"/>
    <xf numFmtId="3" fontId="19" fillId="0" borderId="11" xfId="0" applyNumberFormat="1" applyFont="1" applyBorder="1"/>
    <xf numFmtId="170" fontId="11" fillId="2" borderId="0" xfId="0" applyNumberFormat="1" applyFont="1" applyFill="1"/>
    <xf numFmtId="41" fontId="19" fillId="0" borderId="0" xfId="0" applyNumberFormat="1" applyFont="1"/>
    <xf numFmtId="165" fontId="11" fillId="0" borderId="2" xfId="0" applyNumberFormat="1" applyFont="1" applyBorder="1"/>
    <xf numFmtId="165" fontId="27" fillId="2" borderId="2" xfId="0" applyNumberFormat="1" applyFont="1" applyFill="1" applyBorder="1"/>
    <xf numFmtId="41" fontId="18" fillId="2" borderId="0" xfId="0" applyNumberFormat="1" applyFont="1" applyFill="1"/>
    <xf numFmtId="0" fontId="11" fillId="9" borderId="0" xfId="0" applyFont="1" applyFill="1"/>
    <xf numFmtId="0" fontId="7" fillId="4" borderId="4" xfId="0" applyFont="1" applyFill="1" applyBorder="1" applyAlignment="1">
      <alignment horizontal="center" vertical="center" wrapText="1"/>
    </xf>
  </cellXfs>
  <cellStyles count="5">
    <cellStyle name="Hipervínculo" xfId="4" builtinId="8"/>
    <cellStyle name="Millares" xfId="1" builtinId="3"/>
    <cellStyle name="Normal" xfId="0" builtinId="0"/>
    <cellStyle name="Normal 2" xfId="3" xr:uid="{05702E8C-B162-4DCE-982E-5003A7999228}"/>
    <cellStyle name="Porcentaje" xfId="2" builtinId="5"/>
  </cellStyles>
  <dxfs count="32">
    <dxf>
      <font>
        <color theme="0" tint="-0.14996795556505021"/>
      </font>
      <fill>
        <patternFill>
          <bgColor theme="0" tint="-0.14996795556505021"/>
        </patternFill>
      </fill>
    </dxf>
    <dxf>
      <font>
        <color theme="9" tint="0.59996337778862885"/>
      </font>
      <fill>
        <patternFill>
          <bgColor theme="9" tint="0.59996337778862885"/>
        </patternFill>
      </fill>
    </dxf>
    <dxf>
      <font>
        <color theme="0" tint="-0.14996795556505021"/>
      </font>
      <fill>
        <patternFill>
          <bgColor theme="0" tint="-0.14996795556505021"/>
        </patternFill>
      </fill>
    </dxf>
    <dxf>
      <font>
        <color theme="9" tint="0.59996337778862885"/>
      </font>
      <fill>
        <patternFill>
          <bgColor theme="9" tint="0.59996337778862885"/>
        </patternFill>
      </fill>
    </dxf>
    <dxf>
      <font>
        <color theme="0" tint="-0.14996795556505021"/>
      </font>
      <fill>
        <patternFill>
          <bgColor theme="0" tint="-0.14996795556505021"/>
        </patternFill>
      </fill>
    </dxf>
    <dxf>
      <font>
        <color theme="9" tint="0.59996337778862885"/>
      </font>
      <fill>
        <patternFill>
          <bgColor theme="9" tint="0.59996337778862885"/>
        </patternFill>
      </fill>
    </dxf>
    <dxf>
      <font>
        <color theme="0" tint="-0.14996795556505021"/>
      </font>
      <fill>
        <patternFill>
          <bgColor theme="0" tint="-0.14996795556505021"/>
        </patternFill>
      </fill>
    </dxf>
    <dxf>
      <font>
        <color theme="9" tint="0.59996337778862885"/>
      </font>
      <fill>
        <patternFill>
          <bgColor theme="9" tint="0.59996337778862885"/>
        </patternFill>
      </fill>
    </dxf>
    <dxf>
      <font>
        <color theme="0" tint="-0.14996795556505021"/>
      </font>
      <fill>
        <patternFill>
          <bgColor theme="0" tint="-0.14996795556505021"/>
        </patternFill>
      </fill>
    </dxf>
    <dxf>
      <font>
        <color theme="9" tint="0.59996337778862885"/>
      </font>
      <fill>
        <patternFill>
          <bgColor theme="9" tint="0.59996337778862885"/>
        </patternFill>
      </fill>
    </dxf>
    <dxf>
      <font>
        <color theme="0" tint="-0.14996795556505021"/>
      </font>
      <fill>
        <patternFill>
          <bgColor theme="0" tint="-0.14996795556505021"/>
        </patternFill>
      </fill>
    </dxf>
    <dxf>
      <font>
        <color theme="9" tint="0.59996337778862885"/>
      </font>
      <fill>
        <patternFill>
          <bgColor theme="9" tint="0.59996337778862885"/>
        </patternFill>
      </fill>
    </dxf>
    <dxf>
      <font>
        <color theme="0" tint="-0.14996795556505021"/>
      </font>
      <fill>
        <patternFill>
          <bgColor theme="0" tint="-0.14996795556505021"/>
        </patternFill>
      </fill>
    </dxf>
    <dxf>
      <font>
        <color theme="9" tint="0.59996337778862885"/>
      </font>
      <fill>
        <patternFill>
          <bgColor theme="9" tint="0.59996337778862885"/>
        </patternFill>
      </fill>
    </dxf>
    <dxf>
      <font>
        <color theme="0" tint="-0.14996795556505021"/>
      </font>
      <fill>
        <patternFill>
          <bgColor theme="0" tint="-0.14996795556505021"/>
        </patternFill>
      </fill>
    </dxf>
    <dxf>
      <font>
        <color theme="9" tint="0.59996337778862885"/>
      </font>
      <fill>
        <patternFill>
          <bgColor theme="9" tint="0.59996337778862885"/>
        </patternFill>
      </fill>
    </dxf>
    <dxf>
      <font>
        <color theme="0" tint="-0.14996795556505021"/>
      </font>
      <fill>
        <patternFill>
          <bgColor theme="0" tint="-0.14996795556505021"/>
        </patternFill>
      </fill>
    </dxf>
    <dxf>
      <font>
        <color theme="9" tint="0.59996337778862885"/>
      </font>
      <fill>
        <patternFill>
          <bgColor theme="9" tint="0.59996337778862885"/>
        </patternFill>
      </fill>
    </dxf>
    <dxf>
      <font>
        <color theme="0" tint="-0.14996795556505021"/>
      </font>
      <fill>
        <patternFill>
          <bgColor theme="0" tint="-0.14996795556505021"/>
        </patternFill>
      </fill>
    </dxf>
    <dxf>
      <font>
        <color theme="9" tint="0.59996337778862885"/>
      </font>
      <fill>
        <patternFill>
          <bgColor theme="9" tint="0.59996337778862885"/>
        </patternFill>
      </fill>
    </dxf>
    <dxf>
      <font>
        <color theme="0" tint="-0.14996795556505021"/>
      </font>
      <fill>
        <patternFill>
          <bgColor theme="0" tint="-0.14996795556505021"/>
        </patternFill>
      </fill>
    </dxf>
    <dxf>
      <font>
        <color theme="9" tint="0.59996337778862885"/>
      </font>
      <fill>
        <patternFill>
          <bgColor theme="9" tint="0.59996337778862885"/>
        </patternFill>
      </fill>
    </dxf>
    <dxf>
      <font>
        <color theme="0" tint="-0.14996795556505021"/>
      </font>
      <fill>
        <patternFill>
          <bgColor theme="0" tint="-0.14996795556505021"/>
        </patternFill>
      </fill>
    </dxf>
    <dxf>
      <font>
        <color theme="9" tint="0.59996337778862885"/>
      </font>
      <fill>
        <patternFill>
          <bgColor theme="9" tint="0.59996337778862885"/>
        </patternFill>
      </fill>
    </dxf>
    <dxf>
      <font>
        <color theme="0" tint="-0.14996795556505021"/>
      </font>
      <fill>
        <patternFill>
          <bgColor theme="0" tint="-0.14996795556505021"/>
        </patternFill>
      </fill>
    </dxf>
    <dxf>
      <font>
        <color theme="9" tint="0.59996337778862885"/>
      </font>
      <fill>
        <patternFill>
          <bgColor theme="9" tint="0.59996337778862885"/>
        </patternFill>
      </fill>
    </dxf>
    <dxf>
      <font>
        <color theme="0" tint="-0.14996795556505021"/>
      </font>
      <fill>
        <patternFill>
          <bgColor theme="0" tint="-0.14996795556505021"/>
        </patternFill>
      </fill>
    </dxf>
    <dxf>
      <font>
        <color theme="9" tint="0.59996337778862885"/>
      </font>
      <fill>
        <patternFill>
          <bgColor theme="9" tint="0.59996337778862885"/>
        </patternFill>
      </fill>
    </dxf>
    <dxf>
      <font>
        <color theme="0" tint="-0.14996795556505021"/>
      </font>
      <fill>
        <patternFill>
          <bgColor theme="0" tint="-0.14996795556505021"/>
        </patternFill>
      </fill>
    </dxf>
    <dxf>
      <font>
        <color theme="9" tint="0.59996337778862885"/>
      </font>
      <fill>
        <patternFill>
          <bgColor theme="9" tint="0.59996337778862885"/>
        </patternFill>
      </fill>
    </dxf>
    <dxf>
      <font>
        <color theme="0" tint="-0.14996795556505021"/>
      </font>
      <fill>
        <patternFill>
          <bgColor theme="0" tint="-0.14996795556505021"/>
        </patternFill>
      </fill>
    </dxf>
    <dxf>
      <font>
        <color theme="9" tint="0.59996337778862885"/>
      </font>
      <fill>
        <patternFill>
          <bgColor theme="9"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4.xml"/><Relationship Id="rId18" Type="http://schemas.openxmlformats.org/officeDocument/2006/relationships/externalLink" Target="externalLinks/externalLink9.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externalLink" Target="externalLinks/externalLink8.xml"/><Relationship Id="rId2" Type="http://schemas.openxmlformats.org/officeDocument/2006/relationships/worksheet" Target="worksheets/sheet2.xml"/><Relationship Id="rId16" Type="http://schemas.openxmlformats.org/officeDocument/2006/relationships/externalLink" Target="externalLinks/externalLink7.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externalLink" Target="externalLinks/externalLink6.xml"/><Relationship Id="rId10" Type="http://schemas.openxmlformats.org/officeDocument/2006/relationships/externalLink" Target="externalLinks/externalLink1.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5.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47625</xdr:rowOff>
    </xdr:from>
    <xdr:to>
      <xdr:col>6</xdr:col>
      <xdr:colOff>38099</xdr:colOff>
      <xdr:row>21</xdr:row>
      <xdr:rowOff>103876</xdr:rowOff>
    </xdr:to>
    <xdr:pic>
      <xdr:nvPicPr>
        <xdr:cNvPr id="6" name="Picture 5">
          <a:extLst>
            <a:ext uri="{FF2B5EF4-FFF2-40B4-BE49-F238E27FC236}">
              <a16:creationId xmlns:a16="http://schemas.microsoft.com/office/drawing/2014/main" id="{349A1074-C619-4C9F-A253-C9E56049309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47625"/>
          <a:ext cx="3876674" cy="38567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0</xdr:col>
      <xdr:colOff>609600</xdr:colOff>
      <xdr:row>15</xdr:row>
      <xdr:rowOff>85725</xdr:rowOff>
    </xdr:from>
    <xdr:ext cx="2795588" cy="1031629"/>
    <xdr:sp macro="" textlink="">
      <xdr:nvSpPr>
        <xdr:cNvPr id="7" name="TextBox 6">
          <a:extLst>
            <a:ext uri="{FF2B5EF4-FFF2-40B4-BE49-F238E27FC236}">
              <a16:creationId xmlns:a16="http://schemas.microsoft.com/office/drawing/2014/main" id="{D0ED0A26-A651-4DE3-9F33-F564549D4F4B}"/>
            </a:ext>
          </a:extLst>
        </xdr:cNvPr>
        <xdr:cNvSpPr txBox="1"/>
      </xdr:nvSpPr>
      <xdr:spPr>
        <a:xfrm>
          <a:off x="609600" y="2800350"/>
          <a:ext cx="2795588" cy="10316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n-US" sz="2000">
              <a:solidFill>
                <a:schemeClr val="bg1"/>
              </a:solidFill>
            </a:rPr>
            <a:t>DATOS</a:t>
          </a:r>
          <a:r>
            <a:rPr lang="en-US" sz="2000" baseline="0">
              <a:solidFill>
                <a:schemeClr val="bg1"/>
              </a:solidFill>
            </a:rPr>
            <a:t> OPERATIVOS </a:t>
          </a:r>
          <a:br>
            <a:rPr lang="en-US" sz="2000" baseline="0">
              <a:solidFill>
                <a:schemeClr val="bg1"/>
              </a:solidFill>
            </a:rPr>
          </a:br>
          <a:r>
            <a:rPr lang="en-US" sz="2000" baseline="0">
              <a:solidFill>
                <a:schemeClr val="bg1"/>
              </a:solidFill>
            </a:rPr>
            <a:t>Y FINANCIEROS HISTÓRICOS</a:t>
          </a:r>
          <a:endParaRPr lang="en-US" sz="2000">
            <a:solidFill>
              <a:schemeClr val="bg1"/>
            </a:solidFill>
          </a:endParaRPr>
        </a:p>
      </xdr:txBody>
    </xdr:sp>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H:\Users\spena\Documents\RI\Reportes%20trimestrales\2023\1Q23\Tablas%20Reporte%20Trimestral%20FUNO-%201Q23.xlsx" TargetMode="External"/><Relationship Id="rId1" Type="http://schemas.openxmlformats.org/officeDocument/2006/relationships/externalLinkPath" Target="/Users/spena/Documents/RI/Reportes%20trimestrales/2023/1Q23/Tablas%20Reporte%20Trimestral%20FUNO-%201Q2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spena/Documents/RI/Reportes%20trimestrales/2021/2Q21/Rent%20roll%202Q2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spena/Documents/RI/Reportes%20trimestrales/2020/4Q20/FINANCIEROS/(12)%20Plantilla%20EF&#180;s%204Q20%20para%20Word%20(Dv)%20FINAL.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spena/Documents/RI/Reportes%20trimestrales/2021/3Q21/Informaci&#243;n%20Financiera%20Fibra%20Uno%203Q21.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spena/Documents/RI/Reportes%20trimestrales/2021/2Q21/Informaci&#243;n%20Financiera%20Fibra%20Uno%202Q21.xlsx" TargetMode="External"/></Relationships>
</file>

<file path=xl/externalLinks/_rels/externalLink6.xml.rels><?xml version="1.0" encoding="UTF-8" standalone="yes"?>
<Relationships xmlns="http://schemas.openxmlformats.org/package/2006/relationships"><Relationship Id="rId2" Type="http://schemas.openxmlformats.org/officeDocument/2006/relationships/externalLinkPath" Target="file:///V:\EDOS%20FINANC_FUNO\2024\12.%20DEC%2024\4Q24%20Financieros%20Word\24%20FUNO%20EF%204Q24%20Esp%20&amp;%20Ing%20(E).xlsx" TargetMode="External"/><Relationship Id="rId1" Type="http://schemas.openxmlformats.org/officeDocument/2006/relationships/externalLinkPath" Target="file:///V:\EDOS%20FINANC_FUNO\2024\12.%20DEC%2024\4Q24%20Financieros%20Word\24%20FUNO%20EF%204Q24%20Esp%20&amp;%20Ing%20(E).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Users/spena/Documents/RI/Reportes%20trimestrales/2021/1Q21/FINANCIEROS/Copia%20de%20(03)%20Plantilla%20EFs%201Q21%20para%20Word%20(E)_Cambios.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Users/spena/Documents/RI/Reportes%20trimestrales/2020/3Q20/FINANCIEROS/20Q3%20CF%20FINAL%20-%20PARA%20EMISION%20EEFF%20(002).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Users/spena/Documents/RI/Reportes%20trimestrales/2021/2Q21/Financieros/(06)%20Plantilla%20EF&#180;s%202Q21%20para%20Word%20(A)%20-%20Fin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Use of resources"/>
      <sheetName val="In service Sqft"/>
      <sheetName val="información relevante"/>
      <sheetName val="info relevante sqf"/>
      <sheetName val="Calculo NOI"/>
      <sheetName val="conciliación FFO"/>
      <sheetName val="NAV"/>
      <sheetName val="resumen portafolio"/>
      <sheetName val="ocupación"/>
      <sheetName val="resumen portafolio sqft"/>
      <sheetName val="Ocupacion portafolio"/>
      <sheetName val="graficas portafolio"/>
      <sheetName val="Graphs"/>
      <sheetName val="ocupación por geografia"/>
      <sheetName val="Desarrollo1"/>
      <sheetName val="desarrollo"/>
      <sheetName val="Covenants"/>
      <sheetName val="DSCR CNBV"/>
      <sheetName val="Hoja1"/>
      <sheetName val="Hoja2"/>
      <sheetName val="Hoja3"/>
      <sheetName val="Hoja4"/>
      <sheetName val="Desarrollo2"/>
      <sheetName val="Info complementaria (2)"/>
      <sheetName val="Subsegmento"/>
      <sheetName val="Posibles adquisiciones"/>
      <sheetName val="Posibles adquisiciones (2)"/>
      <sheetName val="Hoja5"/>
      <sheetName val="Explicaciones"/>
      <sheetName val="Leasing Spread"/>
      <sheetName val="Propiedades Constantes "/>
      <sheetName val="Tabla desarrollos"/>
      <sheetName val="CAPEX"/>
      <sheetName val="Distrib trim"/>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ow r="22">
          <cell r="U22">
            <v>2423867.9789100001</v>
          </cell>
        </row>
      </sheetData>
      <sheetData sheetId="24"/>
      <sheetData sheetId="25"/>
      <sheetData sheetId="26"/>
      <sheetData sheetId="27"/>
      <sheetData sheetId="28"/>
      <sheetData sheetId="29"/>
      <sheetData sheetId="30"/>
      <sheetData sheetId="31"/>
      <sheetData sheetId="32"/>
      <sheetData sheetId="3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3"/>
      <sheetName val="Hoja1"/>
      <sheetName val="Info rent Roll"/>
      <sheetName val="Resumen Gral"/>
      <sheetName val="GLA TOTAL"/>
      <sheetName val="In service"/>
      <sheetName val="m2 portafolios"/>
      <sheetName val="VAR 4Q20 vs 1Q21"/>
      <sheetName val="#OP"/>
      <sheetName val="Vencimientos"/>
      <sheetName val="Vencimientos segmento"/>
      <sheetName val="RFA estado"/>
      <sheetName val="Subsegmento"/>
      <sheetName val="ocupación por estado"/>
      <sheetName val="ingresos USDMXP"/>
      <sheetName val="GLA ESTADOS P SEGM"/>
    </sheetNames>
    <sheetDataSet>
      <sheetData sheetId="0"/>
      <sheetData sheetId="1"/>
      <sheetData sheetId="2"/>
      <sheetData sheetId="3">
        <row r="3">
          <cell r="C3">
            <v>148</v>
          </cell>
        </row>
        <row r="4">
          <cell r="E4">
            <v>5789136.3598561222</v>
          </cell>
        </row>
      </sheetData>
      <sheetData sheetId="4"/>
      <sheetData sheetId="5">
        <row r="3">
          <cell r="F3">
            <v>2852671.8049999117</v>
          </cell>
        </row>
      </sheetData>
      <sheetData sheetId="6"/>
      <sheetData sheetId="7"/>
      <sheetData sheetId="8"/>
      <sheetData sheetId="9"/>
      <sheetData sheetId="10"/>
      <sheetData sheetId="11"/>
      <sheetData sheetId="12"/>
      <sheetData sheetId="13"/>
      <sheetData sheetId="14"/>
      <sheetData sheetId="1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G dic20"/>
      <sheetName val="ER dic 20"/>
      <sheetName val="EVC dic20"/>
    </sheetNames>
    <sheetDataSet>
      <sheetData sheetId="0"/>
      <sheetData sheetId="1">
        <row r="8">
          <cell r="I8">
            <v>4539966</v>
          </cell>
        </row>
        <row r="9">
          <cell r="I9">
            <v>89812</v>
          </cell>
        </row>
        <row r="10">
          <cell r="I10">
            <v>469216</v>
          </cell>
        </row>
        <row r="11">
          <cell r="I11">
            <v>-3358</v>
          </cell>
        </row>
        <row r="12">
          <cell r="I12">
            <v>73212</v>
          </cell>
        </row>
        <row r="13">
          <cell r="I13">
            <v>22579</v>
          </cell>
        </row>
        <row r="16">
          <cell r="I16">
            <v>-249267</v>
          </cell>
        </row>
        <row r="17">
          <cell r="I17">
            <v>-334908</v>
          </cell>
        </row>
        <row r="18">
          <cell r="I18">
            <v>-534668</v>
          </cell>
        </row>
        <row r="19">
          <cell r="I19">
            <v>-137178</v>
          </cell>
        </row>
        <row r="20">
          <cell r="I20">
            <v>-72170</v>
          </cell>
        </row>
        <row r="24">
          <cell r="I24">
            <v>-2034124</v>
          </cell>
        </row>
        <row r="25">
          <cell r="I25">
            <v>57929</v>
          </cell>
        </row>
        <row r="28">
          <cell r="I28">
            <v>289782</v>
          </cell>
        </row>
        <row r="29">
          <cell r="I29">
            <v>7710447</v>
          </cell>
        </row>
        <row r="30">
          <cell r="I30">
            <v>731510</v>
          </cell>
        </row>
        <row r="31">
          <cell r="I31">
            <v>666979</v>
          </cell>
        </row>
        <row r="32">
          <cell r="I32">
            <v>-25546</v>
          </cell>
        </row>
        <row r="33">
          <cell r="I33">
            <v>-80152</v>
          </cell>
        </row>
        <row r="36">
          <cell r="I36">
            <v>-27729</v>
          </cell>
        </row>
        <row r="37">
          <cell r="I37">
            <v>-30652</v>
          </cell>
        </row>
      </sheetData>
      <sheetData sheetId="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3Q21"/>
      <sheetName val="2Q21"/>
      <sheetName val="1Q21"/>
      <sheetName val="4Q20"/>
      <sheetName val="3Q20"/>
      <sheetName val="1Q20"/>
      <sheetName val="4Q19"/>
      <sheetName val="3Q19"/>
      <sheetName val="2Q19"/>
      <sheetName val="1Q19"/>
      <sheetName val="IS (MXN)"/>
      <sheetName val="Dividendos Historicos"/>
      <sheetName val="BS (MXN)"/>
      <sheetName val="CF (MXN)"/>
      <sheetName val="Debt Prepayments"/>
      <sheetName val="Covenants"/>
      <sheetName val="DSCR CNBV"/>
      <sheetName val="Assets Fibras"/>
      <sheetName val="Income Fibras"/>
      <sheetName val="GLA Growth Fibras"/>
      <sheetName val="Cartera en Desarrollo"/>
      <sheetName val="Fibra Uno Acquisitions"/>
      <sheetName val="FIBRAs Acquisitions"/>
      <sheetName val="Market GLA Distribution"/>
      <sheetName val="Market GLA Growth"/>
      <sheetName val="Debt Profile (2)"/>
      <sheetName val="Adquisiciones"/>
      <sheetName val="Moody's Compare"/>
      <sheetName val="Pipeline"/>
      <sheetName val="FUNO11 vs IPC"/>
      <sheetName val="Development Portfolio"/>
      <sheetName val="Top 10 Tenants"/>
      <sheetName val="Capital Markets"/>
      <sheetName val="Acquisitions"/>
      <sheetName val="GLA Metrics"/>
    </sheetNames>
    <sheetDataSet>
      <sheetData sheetId="0"/>
      <sheetData sheetId="1"/>
      <sheetData sheetId="2"/>
      <sheetData sheetId="3"/>
      <sheetData sheetId="4"/>
      <sheetData sheetId="5"/>
      <sheetData sheetId="6"/>
      <sheetData sheetId="7"/>
      <sheetData sheetId="8"/>
      <sheetData sheetId="9"/>
      <sheetData sheetId="10">
        <row r="4">
          <cell r="BH4">
            <v>4768810</v>
          </cell>
        </row>
        <row r="12">
          <cell r="BH12">
            <v>-222499</v>
          </cell>
        </row>
        <row r="14">
          <cell r="BH14">
            <v>-333816</v>
          </cell>
        </row>
        <row r="15">
          <cell r="BH15">
            <v>-466975</v>
          </cell>
        </row>
        <row r="18">
          <cell r="BH18">
            <v>-150373</v>
          </cell>
        </row>
        <row r="19">
          <cell r="BH19">
            <v>-88284</v>
          </cell>
        </row>
      </sheetData>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Q21"/>
      <sheetName val="1Q21"/>
      <sheetName val="4Q20"/>
      <sheetName val="3Q20"/>
      <sheetName val="1Q20"/>
      <sheetName val="4Q19"/>
      <sheetName val="3Q19"/>
      <sheetName val="2Q19"/>
      <sheetName val="1Q19"/>
      <sheetName val="IS (MXN)"/>
      <sheetName val="Dividendos Historicos"/>
      <sheetName val="BS (MXN)"/>
      <sheetName val="CF (MXN)"/>
      <sheetName val="Debt Prepayments"/>
      <sheetName val="Covenants"/>
      <sheetName val="DSCR CNBV"/>
      <sheetName val="Assets Fibras"/>
      <sheetName val="Income Fibras"/>
      <sheetName val="GLA Growth Fibras"/>
      <sheetName val="Cartera en Desarrollo"/>
      <sheetName val="Fibra Uno Acquisitions"/>
      <sheetName val="FIBRAs Acquisitions"/>
      <sheetName val="Market GLA Distribution"/>
      <sheetName val="Market GLA Growth"/>
      <sheetName val="Debt Profile (2)"/>
      <sheetName val="Adquisiciones"/>
      <sheetName val="Moody's Compare"/>
      <sheetName val="Pipeline"/>
      <sheetName val="FUNO11 vs IPC"/>
      <sheetName val="Development Portfolio"/>
      <sheetName val="Top 10 Tenants"/>
      <sheetName val="Capital Markets"/>
      <sheetName val="Acquisitions"/>
      <sheetName val="GLA Metrics"/>
    </sheetNames>
    <sheetDataSet>
      <sheetData sheetId="0"/>
      <sheetData sheetId="1"/>
      <sheetData sheetId="2"/>
      <sheetData sheetId="3"/>
      <sheetData sheetId="4"/>
      <sheetData sheetId="5"/>
      <sheetData sheetId="6"/>
      <sheetData sheetId="7"/>
      <sheetData sheetId="8"/>
      <sheetData sheetId="9">
        <row r="4">
          <cell r="BG4">
            <v>4658798</v>
          </cell>
        </row>
        <row r="37">
          <cell r="BG37">
            <v>3799999999</v>
          </cell>
        </row>
        <row r="38">
          <cell r="BG38">
            <v>3803911416.4505496</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BG"/>
      <sheetName val="ER "/>
      <sheetName val="EVC"/>
      <sheetName val="NOTAS"/>
    </sheetNames>
    <sheetDataSet>
      <sheetData sheetId="0" refreshError="1">
        <row r="29">
          <cell r="H29">
            <v>1621203</v>
          </cell>
        </row>
      </sheetData>
      <sheetData sheetId="1" refreshError="1"/>
      <sheetData sheetId="2" refreshError="1"/>
      <sheetData sheetId="3"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G Mar21"/>
      <sheetName val="ER Mar21"/>
      <sheetName val="EVC Mar21"/>
      <sheetName val="EFF Mar21"/>
      <sheetName val="EFF marz"/>
      <sheetName val="NOTAS"/>
    </sheetNames>
    <sheetDataSet>
      <sheetData sheetId="0">
        <row r="33">
          <cell r="E33">
            <v>307347</v>
          </cell>
        </row>
        <row r="51">
          <cell r="E51">
            <v>106265646</v>
          </cell>
        </row>
        <row r="52">
          <cell r="E52">
            <v>60134601</v>
          </cell>
        </row>
        <row r="53">
          <cell r="E53">
            <v>-626070</v>
          </cell>
        </row>
        <row r="54">
          <cell r="E54">
            <v>309921</v>
          </cell>
        </row>
      </sheetData>
      <sheetData sheetId="1"/>
      <sheetData sheetId="2"/>
      <sheetData sheetId="3">
        <row r="9">
          <cell r="E9">
            <v>-338467</v>
          </cell>
        </row>
      </sheetData>
      <sheetData sheetId="4"/>
      <sheetData sheetId="5"/>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E para EEFF Q2 20 MEXCAP"/>
      <sheetName val="KNOW HOW"/>
      <sheetName val="BG"/>
      <sheetName val="EVCC"/>
      <sheetName val="ER"/>
      <sheetName val="ER Q2 20"/>
      <sheetName val="EVCC Q2 20"/>
      <sheetName val="EVCC Q3 20"/>
      <sheetName val="ER Q3 20"/>
      <sheetName val="FE1"/>
      <sheetName val="CF Final Template FINAL"/>
      <sheetName val="FE para EEFF Q2 20"/>
      <sheetName val="EFF word"/>
      <sheetName val="EFF ingles word"/>
      <sheetName val="CxC @ 09.2020"/>
      <sheetName val="TESORERIA INT A FAVOR"/>
      <sheetName val="Derivados"/>
      <sheetName val="RIF K"/>
      <sheetName val="Hoja1"/>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9">
          <cell r="E9">
            <v>2837553.5555300033</v>
          </cell>
        </row>
        <row r="48">
          <cell r="E48">
            <v>-11842452.236782394</v>
          </cell>
        </row>
        <row r="49">
          <cell r="E49">
            <v>35758956.236782394</v>
          </cell>
        </row>
        <row r="50">
          <cell r="E50">
            <v>-376450.00000000279</v>
          </cell>
        </row>
        <row r="52">
          <cell r="E52">
            <v>-4590047.3009300008</v>
          </cell>
        </row>
        <row r="54">
          <cell r="E54">
            <v>-911428.84171000007</v>
          </cell>
        </row>
        <row r="55">
          <cell r="E55">
            <v>-5408403</v>
          </cell>
        </row>
        <row r="59">
          <cell r="E59">
            <v>15331021.503599998</v>
          </cell>
        </row>
        <row r="60">
          <cell r="E60">
            <v>3042914</v>
          </cell>
        </row>
      </sheetData>
      <sheetData sheetId="13"/>
      <sheetData sheetId="14"/>
      <sheetData sheetId="15"/>
      <sheetData sheetId="16"/>
      <sheetData sheetId="17"/>
      <sheetData sheetId="18"/>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G Jun21"/>
      <sheetName val="ER Jun21"/>
      <sheetName val="EVC Jun21"/>
      <sheetName val="EFF word"/>
      <sheetName val="EFF Mar21"/>
      <sheetName val="EFF marz"/>
      <sheetName val="NOTAS"/>
    </sheetNames>
    <sheetDataSet>
      <sheetData sheetId="0"/>
      <sheetData sheetId="1"/>
      <sheetData sheetId="2"/>
      <sheetData sheetId="3">
        <row r="9">
          <cell r="E9">
            <v>1180717</v>
          </cell>
        </row>
      </sheetData>
      <sheetData sheetId="4"/>
      <sheetData sheetId="5"/>
      <sheetData sheetId="6"/>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61229B-65BD-403E-A045-AA8A5DA0850E}">
  <dimension ref="B2:I11"/>
  <sheetViews>
    <sheetView workbookViewId="0">
      <selection activeCell="I14" sqref="I14"/>
    </sheetView>
  </sheetViews>
  <sheetFormatPr baseColWidth="10" defaultColWidth="9" defaultRowHeight="14.5" x14ac:dyDescent="0.35"/>
  <cols>
    <col min="1" max="6" width="9" style="62"/>
    <col min="7" max="7" width="1.453125" style="62" customWidth="1"/>
    <col min="8" max="8" width="9" style="62"/>
    <col min="9" max="9" width="20.453125" style="62" customWidth="1"/>
    <col min="10" max="16384" width="9" style="62"/>
  </cols>
  <sheetData>
    <row r="2" spans="2:9" x14ac:dyDescent="0.35">
      <c r="B2" s="30"/>
      <c r="I2" s="89" t="s">
        <v>47</v>
      </c>
    </row>
    <row r="3" spans="2:9" x14ac:dyDescent="0.35">
      <c r="B3" s="30"/>
    </row>
    <row r="4" spans="2:9" x14ac:dyDescent="0.35">
      <c r="I4" s="90" t="s">
        <v>48</v>
      </c>
    </row>
    <row r="5" spans="2:9" x14ac:dyDescent="0.35">
      <c r="I5" s="90" t="s">
        <v>49</v>
      </c>
    </row>
    <row r="6" spans="2:9" x14ac:dyDescent="0.35">
      <c r="I6" s="90" t="s">
        <v>50</v>
      </c>
    </row>
    <row r="7" spans="2:9" x14ac:dyDescent="0.35">
      <c r="I7" s="90" t="s">
        <v>242</v>
      </c>
    </row>
    <row r="8" spans="2:9" x14ac:dyDescent="0.35">
      <c r="I8" s="90" t="s">
        <v>51</v>
      </c>
    </row>
    <row r="9" spans="2:9" x14ac:dyDescent="0.35">
      <c r="I9" s="90" t="s">
        <v>59</v>
      </c>
    </row>
    <row r="10" spans="2:9" x14ac:dyDescent="0.35">
      <c r="I10" s="90" t="s">
        <v>60</v>
      </c>
    </row>
    <row r="11" spans="2:9" x14ac:dyDescent="0.35">
      <c r="I11" s="90" t="s">
        <v>211</v>
      </c>
    </row>
  </sheetData>
  <sheetProtection algorithmName="SHA-512" hashValue="zJkf08sNZBZcwDRfypGKxotColGTzYmPc68Na2EYwp+0iPD3lvLwpzKeqX4vl+Ilex8eMX4BP+twVBw5ayJP7Q==" saltValue="SbueUBh98Q72dSGsS8+zHw==" spinCount="100000" sheet="1" objects="1" scenarios="1"/>
  <hyperlinks>
    <hyperlink ref="I4" location="DatosOperativos!A1" display="Datos Operativos" xr:uid="{90E0FD70-47B5-4905-82CF-6A9521BBE456}"/>
    <hyperlink ref="I5" location="DatosPorCBFI!A1" display="Datos por CBFI" xr:uid="{AFEF69AC-1F1A-499D-9324-779B424278F0}"/>
    <hyperlink ref="I6" location="LeasingSpreads!A1" display="Leasing Spreads" xr:uid="{1B395FC1-8887-45BB-8D25-350B2B9DC184}"/>
    <hyperlink ref="I7" location="PropiedadesConstantes!A1" display="Propiedades Constantes" xr:uid="{631273D5-CD84-4BE3-B987-B394972BD995}"/>
    <hyperlink ref="I8" location="EstadoDeResultados!A1" display="Estado de Resultados" xr:uid="{E09F6A38-E355-4F5D-BC0C-E6E3E6C44A38}"/>
    <hyperlink ref="I9" location="Balance!A1" display="Balance General" xr:uid="{4CB5280F-4207-436A-854B-5A2B2A0B9547}"/>
    <hyperlink ref="I10" location="Flujos!A1" display="Flujo de Efectivo" xr:uid="{B9A5F4CC-4057-4E0A-928B-BBA870C1F7B5}"/>
    <hyperlink ref="I11" location="Glosario!A1" display="Glosario" xr:uid="{C5A0B86F-EB27-4289-AD6B-2CAF92990AB6}"/>
  </hyperlinks>
  <pageMargins left="0.7" right="0.7" top="0.75" bottom="0.75" header="0.3" footer="0.3"/>
  <pageSetup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7E8D16-BE94-480C-9222-7FAB743FF45B}">
  <dimension ref="A1:BI33"/>
  <sheetViews>
    <sheetView showGridLines="0" tabSelected="1" zoomScaleNormal="100" workbookViewId="0">
      <pane xSplit="2" topLeftCell="AF1" activePane="topRight" state="frozen"/>
      <selection pane="topRight" activeCell="BI2" sqref="BI2"/>
    </sheetView>
  </sheetViews>
  <sheetFormatPr baseColWidth="10" defaultColWidth="9" defaultRowHeight="14.5" outlineLevelCol="1" x14ac:dyDescent="0.35"/>
  <cols>
    <col min="1" max="1" width="3.453125" style="1" customWidth="1"/>
    <col min="2" max="2" width="26.1796875" style="8" bestFit="1" customWidth="1"/>
    <col min="3" max="6" width="9" style="7" hidden="1" customWidth="1" outlineLevel="1"/>
    <col min="7" max="7" width="9" style="7" collapsed="1"/>
    <col min="8" max="11" width="9" style="7" hidden="1" customWidth="1" outlineLevel="1"/>
    <col min="12" max="12" width="9" style="7" collapsed="1"/>
    <col min="13" max="16" width="9" style="7" hidden="1" customWidth="1" outlineLevel="1"/>
    <col min="17" max="17" width="9" style="7" collapsed="1"/>
    <col min="18" max="21" width="9" style="7" hidden="1" customWidth="1" outlineLevel="1"/>
    <col min="22" max="22" width="9" style="7" collapsed="1"/>
    <col min="23" max="26" width="9" style="7" hidden="1" customWidth="1" outlineLevel="1"/>
    <col min="27" max="27" width="9" style="7" collapsed="1"/>
    <col min="28" max="31" width="9" style="7" hidden="1" customWidth="1" outlineLevel="1"/>
    <col min="32" max="32" width="9" style="7" collapsed="1"/>
    <col min="33" max="36" width="9" style="7" hidden="1" customWidth="1" outlineLevel="1"/>
    <col min="37" max="37" width="9" style="7" collapsed="1"/>
    <col min="38" max="41" width="9.453125" style="7" hidden="1" customWidth="1" outlineLevel="1"/>
    <col min="42" max="42" width="9" style="7" collapsed="1"/>
    <col min="43" max="46" width="9.453125" style="7" hidden="1" customWidth="1" outlineLevel="1"/>
    <col min="47" max="47" width="9" style="7" customWidth="1" collapsed="1"/>
    <col min="48" max="50" width="9.453125" style="7" hidden="1" customWidth="1" outlineLevel="1"/>
    <col min="51" max="51" width="9.453125" style="7" customWidth="1" collapsed="1"/>
    <col min="52" max="55" width="9.453125" style="7" hidden="1" customWidth="1" outlineLevel="1"/>
    <col min="56" max="56" width="9.453125" style="7" customWidth="1" collapsed="1"/>
    <col min="57" max="60" width="9" style="1"/>
    <col min="61" max="61" width="9.453125" style="7" customWidth="1"/>
    <col min="62" max="16384" width="9" style="1"/>
  </cols>
  <sheetData>
    <row r="1" spans="1:61" x14ac:dyDescent="0.35">
      <c r="A1" s="130" t="s">
        <v>252</v>
      </c>
      <c r="C1" s="7" t="s">
        <v>108</v>
      </c>
    </row>
    <row r="2" spans="1:61" ht="15" thickBot="1" x14ac:dyDescent="0.4"/>
    <row r="3" spans="1:61" ht="15.5" thickTop="1" thickBot="1" x14ac:dyDescent="0.4">
      <c r="B3" s="146" t="s">
        <v>0</v>
      </c>
      <c r="C3" s="131" t="s">
        <v>254</v>
      </c>
      <c r="D3" s="32" t="s">
        <v>255</v>
      </c>
      <c r="E3" s="32" t="s">
        <v>256</v>
      </c>
      <c r="F3" s="32" t="s">
        <v>257</v>
      </c>
      <c r="G3" s="34">
        <v>2014</v>
      </c>
      <c r="H3" s="32" t="s">
        <v>258</v>
      </c>
      <c r="I3" s="32" t="s">
        <v>259</v>
      </c>
      <c r="J3" s="32" t="s">
        <v>260</v>
      </c>
      <c r="K3" s="32" t="s">
        <v>261</v>
      </c>
      <c r="L3" s="34">
        <v>2015</v>
      </c>
      <c r="M3" s="32" t="s">
        <v>262</v>
      </c>
      <c r="N3" s="32" t="s">
        <v>263</v>
      </c>
      <c r="O3" s="32" t="s">
        <v>264</v>
      </c>
      <c r="P3" s="32" t="s">
        <v>265</v>
      </c>
      <c r="Q3" s="34">
        <v>2016</v>
      </c>
      <c r="R3" s="32" t="s">
        <v>266</v>
      </c>
      <c r="S3" s="32" t="s">
        <v>267</v>
      </c>
      <c r="T3" s="32" t="s">
        <v>268</v>
      </c>
      <c r="U3" s="32" t="s">
        <v>269</v>
      </c>
      <c r="V3" s="34">
        <v>2017</v>
      </c>
      <c r="W3" s="32" t="s">
        <v>270</v>
      </c>
      <c r="X3" s="32" t="s">
        <v>271</v>
      </c>
      <c r="Y3" s="32" t="s">
        <v>272</v>
      </c>
      <c r="Z3" s="32" t="s">
        <v>273</v>
      </c>
      <c r="AA3" s="34">
        <v>2018</v>
      </c>
      <c r="AB3" s="32" t="s">
        <v>274</v>
      </c>
      <c r="AC3" s="32" t="s">
        <v>275</v>
      </c>
      <c r="AD3" s="32" t="s">
        <v>276</v>
      </c>
      <c r="AE3" s="32" t="s">
        <v>277</v>
      </c>
      <c r="AF3" s="132">
        <v>2019</v>
      </c>
      <c r="AG3" s="32" t="s">
        <v>279</v>
      </c>
      <c r="AH3" s="32" t="s">
        <v>280</v>
      </c>
      <c r="AI3" s="32" t="s">
        <v>281</v>
      </c>
      <c r="AJ3" s="32" t="s">
        <v>282</v>
      </c>
      <c r="AK3" s="132">
        <v>2020</v>
      </c>
      <c r="AL3" s="32" t="s">
        <v>301</v>
      </c>
      <c r="AM3" s="32" t="s">
        <v>304</v>
      </c>
      <c r="AN3" s="32" t="s">
        <v>309</v>
      </c>
      <c r="AO3" s="32" t="s">
        <v>312</v>
      </c>
      <c r="AP3" s="132">
        <v>2021</v>
      </c>
      <c r="AQ3" s="32" t="s">
        <v>317</v>
      </c>
      <c r="AR3" s="32" t="s">
        <v>328</v>
      </c>
      <c r="AS3" s="32" t="s">
        <v>348</v>
      </c>
      <c r="AT3" s="32" t="s">
        <v>349</v>
      </c>
      <c r="AU3" s="132">
        <v>2022</v>
      </c>
      <c r="AV3" s="32" t="s">
        <v>359</v>
      </c>
      <c r="AW3" s="32" t="s">
        <v>380</v>
      </c>
      <c r="AX3" s="32" t="s">
        <v>389</v>
      </c>
      <c r="AY3" s="132">
        <v>2023</v>
      </c>
      <c r="AZ3" s="32" t="s">
        <v>403</v>
      </c>
      <c r="BA3" s="32" t="s">
        <v>405</v>
      </c>
      <c r="BB3" s="32" t="s">
        <v>406</v>
      </c>
      <c r="BC3" s="32" t="s">
        <v>413</v>
      </c>
      <c r="BD3" s="132">
        <v>2024</v>
      </c>
      <c r="BE3" s="32" t="s">
        <v>414</v>
      </c>
      <c r="BF3" s="32" t="s">
        <v>437</v>
      </c>
      <c r="BG3" s="32" t="s">
        <v>438</v>
      </c>
      <c r="BH3" s="32" t="s">
        <v>443</v>
      </c>
      <c r="BI3" s="132">
        <v>2025</v>
      </c>
    </row>
    <row r="4" spans="1:61" ht="15.5" thickTop="1" thickBot="1" x14ac:dyDescent="0.4">
      <c r="B4" s="147" t="s">
        <v>21</v>
      </c>
      <c r="C4" s="133">
        <v>2035.6189999999999</v>
      </c>
      <c r="D4" s="133">
        <v>2086.5</v>
      </c>
      <c r="E4" s="133">
        <v>2104.4</v>
      </c>
      <c r="F4" s="133">
        <v>2164.8000000000002</v>
      </c>
      <c r="G4" s="133">
        <f>F4</f>
        <v>2164.8000000000002</v>
      </c>
      <c r="H4" s="133">
        <v>2148.6</v>
      </c>
      <c r="I4" s="133">
        <v>2749.4</v>
      </c>
      <c r="J4" s="133">
        <v>2774.0905760000001</v>
      </c>
      <c r="K4" s="133">
        <v>2856.9805759999999</v>
      </c>
      <c r="L4" s="133">
        <f>K4</f>
        <v>2856.9805759999999</v>
      </c>
      <c r="M4" s="133">
        <v>2897.4664560000001</v>
      </c>
      <c r="N4" s="133">
        <v>2939.8559260000002</v>
      </c>
      <c r="O4" s="133">
        <v>2947.4207360000005</v>
      </c>
      <c r="P4" s="133">
        <v>2954.327636</v>
      </c>
      <c r="Q4" s="133">
        <f>P4</f>
        <v>2954.327636</v>
      </c>
      <c r="R4" s="133">
        <v>2962.1504359999994</v>
      </c>
      <c r="S4" s="133">
        <v>2970.5134760000005</v>
      </c>
      <c r="T4" s="133">
        <v>2975.0234560000004</v>
      </c>
      <c r="U4" s="134">
        <v>3321.8</v>
      </c>
      <c r="V4" s="133">
        <f>U4</f>
        <v>3321.8</v>
      </c>
      <c r="W4" s="133">
        <v>3147.4961350000003</v>
      </c>
      <c r="X4" s="133">
        <v>3200.1949050000007</v>
      </c>
      <c r="Y4" s="133">
        <v>3205.6293649999079</v>
      </c>
      <c r="Z4" s="133">
        <v>3294.6544749999171</v>
      </c>
      <c r="AA4" s="133">
        <f>Z4</f>
        <v>3294.6544749999171</v>
      </c>
      <c r="AB4" s="133">
        <v>3361.1394449999275</v>
      </c>
      <c r="AC4" s="133">
        <v>3398.5709649999294</v>
      </c>
      <c r="AD4" s="133">
        <v>3402.5415649999231</v>
      </c>
      <c r="AE4" s="133">
        <v>2751.3456449999717</v>
      </c>
      <c r="AF4" s="133">
        <f>AE4</f>
        <v>2751.3456449999717</v>
      </c>
      <c r="AG4" s="133">
        <v>2790.6909129999999</v>
      </c>
      <c r="AH4" s="133">
        <v>2792.8360949999646</v>
      </c>
      <c r="AI4" s="133">
        <v>2786.6488049999662</v>
      </c>
      <c r="AJ4" s="133">
        <v>2852.9810000000002</v>
      </c>
      <c r="AK4" s="133">
        <f>AJ4</f>
        <v>2852.9810000000002</v>
      </c>
      <c r="AL4" s="133">
        <v>2860.194924999927</v>
      </c>
      <c r="AM4" s="133">
        <v>2852.6718049999117</v>
      </c>
      <c r="AN4" s="133">
        <v>2865.3388949999653</v>
      </c>
      <c r="AO4" s="133">
        <v>2861.8479549998938</v>
      </c>
      <c r="AP4" s="133">
        <f>AO4</f>
        <v>2861.8479549998938</v>
      </c>
      <c r="AQ4" s="133">
        <v>2867.1916449999731</v>
      </c>
      <c r="AR4" s="133">
        <v>2871.7397049999713</v>
      </c>
      <c r="AS4" s="133">
        <v>2979.7889249999621</v>
      </c>
      <c r="AT4" s="133">
        <v>2998.374294999961</v>
      </c>
      <c r="AU4" s="133">
        <f>AT4</f>
        <v>2998.374294999961</v>
      </c>
      <c r="AV4" s="133">
        <v>2998.0242049998719</v>
      </c>
      <c r="AW4" s="133">
        <v>3020.3907859998512</v>
      </c>
      <c r="AX4" s="133">
        <v>3018.4</v>
      </c>
      <c r="AY4" s="133">
        <v>3019.4025259999689</v>
      </c>
      <c r="AZ4" s="133">
        <v>3024.6</v>
      </c>
      <c r="BA4" s="133">
        <v>3033.7384559999373</v>
      </c>
      <c r="BB4" s="133">
        <v>3035.5614159999386</v>
      </c>
      <c r="BC4" s="133">
        <v>3041.6622159999606</v>
      </c>
      <c r="BD4" s="133">
        <v>3041.6622159999606</v>
      </c>
      <c r="BE4" s="133">
        <v>3039.0963259999016</v>
      </c>
      <c r="BF4" s="133">
        <v>3040.6117459999509</v>
      </c>
      <c r="BG4" s="133">
        <v>3042.5843059999493</v>
      </c>
      <c r="BH4" s="133">
        <v>2984.2599759999325</v>
      </c>
      <c r="BI4" s="133">
        <v>2984.2599759999325</v>
      </c>
    </row>
    <row r="5" spans="1:61" ht="15.5" thickTop="1" thickBot="1" x14ac:dyDescent="0.4">
      <c r="B5" s="148" t="s">
        <v>22</v>
      </c>
      <c r="C5" s="135">
        <v>275</v>
      </c>
      <c r="D5" s="135">
        <v>274</v>
      </c>
      <c r="E5" s="135">
        <v>275</v>
      </c>
      <c r="F5" s="135">
        <v>277</v>
      </c>
      <c r="G5" s="135">
        <f>F5</f>
        <v>277</v>
      </c>
      <c r="H5" s="135">
        <v>278</v>
      </c>
      <c r="I5" s="135">
        <v>312</v>
      </c>
      <c r="J5" s="135">
        <v>313</v>
      </c>
      <c r="K5" s="135">
        <v>321</v>
      </c>
      <c r="L5" s="135">
        <f>K5</f>
        <v>321</v>
      </c>
      <c r="M5" s="136">
        <v>322</v>
      </c>
      <c r="N5" s="136">
        <v>323</v>
      </c>
      <c r="O5" s="136">
        <v>323</v>
      </c>
      <c r="P5" s="136">
        <v>325</v>
      </c>
      <c r="Q5" s="135">
        <f>P5</f>
        <v>325</v>
      </c>
      <c r="R5" s="136">
        <v>325</v>
      </c>
      <c r="S5" s="136">
        <v>325</v>
      </c>
      <c r="T5" s="136">
        <v>324</v>
      </c>
      <c r="U5" s="137">
        <v>344</v>
      </c>
      <c r="V5" s="135">
        <f>U5</f>
        <v>344</v>
      </c>
      <c r="W5" s="136">
        <v>343</v>
      </c>
      <c r="X5" s="138">
        <v>345</v>
      </c>
      <c r="Y5" s="138">
        <v>345</v>
      </c>
      <c r="Z5" s="138">
        <v>346</v>
      </c>
      <c r="AA5" s="135">
        <f>Z5</f>
        <v>346</v>
      </c>
      <c r="AB5" s="138">
        <v>347</v>
      </c>
      <c r="AC5" s="138">
        <v>348</v>
      </c>
      <c r="AD5" s="138">
        <v>348</v>
      </c>
      <c r="AE5" s="138">
        <v>146</v>
      </c>
      <c r="AF5" s="135">
        <f>AE5</f>
        <v>146</v>
      </c>
      <c r="AG5" s="138">
        <v>147</v>
      </c>
      <c r="AH5" s="138">
        <v>147</v>
      </c>
      <c r="AI5" s="138">
        <v>147</v>
      </c>
      <c r="AJ5" s="138">
        <v>148</v>
      </c>
      <c r="AK5" s="135">
        <f>AJ5</f>
        <v>148</v>
      </c>
      <c r="AL5" s="138">
        <v>148</v>
      </c>
      <c r="AM5" s="138">
        <v>148</v>
      </c>
      <c r="AN5" s="138">
        <v>149</v>
      </c>
      <c r="AO5" s="138">
        <v>149</v>
      </c>
      <c r="AP5" s="135">
        <f>AO5</f>
        <v>149</v>
      </c>
      <c r="AQ5" s="138">
        <v>149</v>
      </c>
      <c r="AR5" s="138">
        <v>149</v>
      </c>
      <c r="AS5" s="138">
        <v>146</v>
      </c>
      <c r="AT5" s="138">
        <v>146</v>
      </c>
      <c r="AU5" s="135">
        <f>AT5</f>
        <v>146</v>
      </c>
      <c r="AV5" s="138">
        <v>146</v>
      </c>
      <c r="AW5" s="138">
        <v>147</v>
      </c>
      <c r="AX5" s="138">
        <v>147</v>
      </c>
      <c r="AY5" s="138">
        <v>147</v>
      </c>
      <c r="AZ5" s="138">
        <v>147</v>
      </c>
      <c r="BA5" s="138">
        <v>147</v>
      </c>
      <c r="BB5" s="138">
        <v>147</v>
      </c>
      <c r="BC5" s="138">
        <v>147</v>
      </c>
      <c r="BD5" s="138">
        <v>147</v>
      </c>
      <c r="BE5" s="138">
        <v>147</v>
      </c>
      <c r="BF5" s="138">
        <v>147</v>
      </c>
      <c r="BG5" s="138">
        <v>147</v>
      </c>
      <c r="BH5" s="138">
        <v>143</v>
      </c>
      <c r="BI5" s="138">
        <v>143</v>
      </c>
    </row>
    <row r="6" spans="1:61" ht="15.5" thickTop="1" thickBot="1" x14ac:dyDescent="0.4">
      <c r="B6" s="148" t="s">
        <v>23</v>
      </c>
      <c r="C6" s="135"/>
      <c r="D6" s="133">
        <v>7</v>
      </c>
      <c r="E6" s="133">
        <v>6.9</v>
      </c>
      <c r="F6" s="133">
        <v>6.8</v>
      </c>
      <c r="G6" s="133">
        <f>F6</f>
        <v>6.8</v>
      </c>
      <c r="H6" s="133">
        <v>6.6</v>
      </c>
      <c r="I6" s="133">
        <v>6.4</v>
      </c>
      <c r="J6" s="133">
        <v>6.3458239141571786</v>
      </c>
      <c r="K6" s="133">
        <v>6.4847411593099746</v>
      </c>
      <c r="L6" s="133">
        <f>K6</f>
        <v>6.4847411593099746</v>
      </c>
      <c r="M6" s="133">
        <v>6.4249520217444243</v>
      </c>
      <c r="N6" s="133">
        <v>6.3353696728419013</v>
      </c>
      <c r="O6" s="133">
        <v>6.3036005040972443</v>
      </c>
      <c r="P6" s="133">
        <v>5.800418214500751</v>
      </c>
      <c r="Q6" s="133">
        <f>P6</f>
        <v>5.800418214500751</v>
      </c>
      <c r="R6" s="133">
        <v>5.8196263226794986</v>
      </c>
      <c r="S6" s="133">
        <v>5.646439164611599</v>
      </c>
      <c r="T6" s="133">
        <v>5.9221864259660144</v>
      </c>
      <c r="U6" s="139">
        <v>6</v>
      </c>
      <c r="V6" s="133">
        <f>U6</f>
        <v>6</v>
      </c>
      <c r="W6" s="133">
        <v>5.8580984601814006</v>
      </c>
      <c r="X6" s="133">
        <v>5.8126610830950485</v>
      </c>
      <c r="Y6" s="133">
        <v>5.7183835239878196</v>
      </c>
      <c r="Z6" s="133">
        <v>5.5005244955179595</v>
      </c>
      <c r="AA6" s="133">
        <f>Z6</f>
        <v>5.5005244955179595</v>
      </c>
      <c r="AB6" s="133">
        <v>5.5205258670319814</v>
      </c>
      <c r="AC6" s="133">
        <v>5.2901296955208057</v>
      </c>
      <c r="AD6" s="133">
        <v>5.3603751528099126</v>
      </c>
      <c r="AE6" s="133">
        <v>4.4925732333039763</v>
      </c>
      <c r="AF6" s="133">
        <f>AE6</f>
        <v>4.4925732333039763</v>
      </c>
      <c r="AG6" s="133">
        <v>4.4081561042045445</v>
      </c>
      <c r="AH6" s="133">
        <v>4.3364085214148096</v>
      </c>
      <c r="AI6" s="133">
        <v>4.2</v>
      </c>
      <c r="AJ6" s="133">
        <v>4.0999999999999996</v>
      </c>
      <c r="AK6" s="133">
        <f>AJ6</f>
        <v>4.0999999999999996</v>
      </c>
      <c r="AL6" s="133">
        <v>4.2</v>
      </c>
      <c r="AM6" s="133">
        <v>3.9667788060567273</v>
      </c>
      <c r="AN6" s="133">
        <v>4.024683896028157</v>
      </c>
      <c r="AO6" s="133">
        <v>3.9762163014896599</v>
      </c>
      <c r="AP6" s="133">
        <f>AO6</f>
        <v>3.9762163014896599</v>
      </c>
      <c r="AQ6" s="133">
        <v>3.9</v>
      </c>
      <c r="AR6" s="133">
        <v>4.0088748650856818</v>
      </c>
      <c r="AS6" s="133">
        <v>4.3524586442932263</v>
      </c>
      <c r="AT6" s="133">
        <v>4.2471699446533933</v>
      </c>
      <c r="AU6" s="133">
        <f>AT6</f>
        <v>4.2471699446533933</v>
      </c>
      <c r="AV6" s="133">
        <v>4.107783552376433</v>
      </c>
      <c r="AW6" s="133">
        <v>4</v>
      </c>
      <c r="AX6" s="133">
        <v>3.9</v>
      </c>
      <c r="AY6" s="133">
        <v>3.8505550342844161</v>
      </c>
      <c r="AZ6" s="133">
        <v>3.8</v>
      </c>
      <c r="BA6" s="133">
        <v>3.6845894092400107</v>
      </c>
      <c r="BB6" s="133">
        <v>3.6779168014733883</v>
      </c>
      <c r="BC6" s="133">
        <v>3.6386956155759247</v>
      </c>
      <c r="BD6" s="133">
        <v>3.6386956155759247</v>
      </c>
      <c r="BE6" s="133">
        <v>3.6958725009822215</v>
      </c>
      <c r="BF6" s="133">
        <v>3.5676372560971052</v>
      </c>
      <c r="BG6" s="133">
        <v>3.7565179643685869</v>
      </c>
      <c r="BH6" s="133">
        <v>3.9155048313343048</v>
      </c>
      <c r="BI6" s="133">
        <v>3.9155048313343048</v>
      </c>
    </row>
    <row r="7" spans="1:61" s="91" customFormat="1" ht="15.5" thickTop="1" thickBot="1" x14ac:dyDescent="0.4">
      <c r="B7" s="149" t="s">
        <v>241</v>
      </c>
      <c r="C7" s="140">
        <v>859.59799999999996</v>
      </c>
      <c r="D7" s="140">
        <v>1031.652</v>
      </c>
      <c r="E7" s="140">
        <v>1031.1310000000001</v>
      </c>
      <c r="F7" s="140">
        <v>1161.3399999999999</v>
      </c>
      <c r="G7" s="140">
        <f>SUM(C7:F7)</f>
        <v>4083.7210000000005</v>
      </c>
      <c r="H7" s="140">
        <v>1129.057</v>
      </c>
      <c r="I7" s="140">
        <v>1330.2719999999999</v>
      </c>
      <c r="J7" s="140">
        <v>1452.7</v>
      </c>
      <c r="K7" s="140">
        <v>1551.2</v>
      </c>
      <c r="L7" s="140">
        <f>SUM(H7:K7)</f>
        <v>5463.2289999999994</v>
      </c>
      <c r="M7" s="140">
        <v>1582.7</v>
      </c>
      <c r="N7" s="140">
        <v>1697.384</v>
      </c>
      <c r="O7" s="140">
        <v>1769.52</v>
      </c>
      <c r="P7" s="140">
        <v>1923.866</v>
      </c>
      <c r="Q7" s="140">
        <f>SUM(M7:P7)</f>
        <v>6973.4699999999993</v>
      </c>
      <c r="R7" s="140">
        <v>1783.884</v>
      </c>
      <c r="S7" s="140">
        <v>1794.5930000000001</v>
      </c>
      <c r="T7" s="140">
        <v>1824.5989999999999</v>
      </c>
      <c r="U7" s="141">
        <v>1862.71</v>
      </c>
      <c r="V7" s="140">
        <f>SUM(R7:U7)</f>
        <v>7265.7860000000001</v>
      </c>
      <c r="W7" s="140">
        <v>2114.39</v>
      </c>
      <c r="X7" s="140">
        <v>2094.2080000000001</v>
      </c>
      <c r="Y7" s="140">
        <v>2164.0529999999999</v>
      </c>
      <c r="Z7" s="140">
        <v>2279.424</v>
      </c>
      <c r="AA7" s="140">
        <f>SUM(W7:Z7)</f>
        <v>8652.0750000000007</v>
      </c>
      <c r="AB7" s="140">
        <v>2323.0920000000001</v>
      </c>
      <c r="AC7" s="140">
        <v>2367.8969999999999</v>
      </c>
      <c r="AD7" s="140">
        <v>2352.817</v>
      </c>
      <c r="AE7" s="140">
        <v>2418.2739999999999</v>
      </c>
      <c r="AF7" s="140">
        <f>SUM(AB7:AE7)</f>
        <v>9462.08</v>
      </c>
      <c r="AG7" s="140">
        <v>2402</v>
      </c>
      <c r="AH7" s="140">
        <v>1962.9387516700001</v>
      </c>
      <c r="AI7" s="140">
        <f>1919163.20525/1000</f>
        <v>1919.1632052500001</v>
      </c>
      <c r="AJ7" s="140">
        <f>2096522.14645/1000</f>
        <v>2096.52214645</v>
      </c>
      <c r="AK7" s="140">
        <f>SUM(AG7:AJ7)</f>
        <v>8380.6241033699989</v>
      </c>
      <c r="AL7" s="140">
        <v>2317.6842513900006</v>
      </c>
      <c r="AM7" s="140">
        <v>2093.0865255767817</v>
      </c>
      <c r="AN7" s="140">
        <v>2268.4393725818395</v>
      </c>
      <c r="AO7" s="140">
        <v>2771.348</v>
      </c>
      <c r="AP7" s="140">
        <f>SUM(AL7:AO7)</f>
        <v>9450.5581495486222</v>
      </c>
      <c r="AQ7" s="140">
        <f>2613.801</f>
        <v>2613.8009999999999</v>
      </c>
      <c r="AR7" s="140">
        <f>2012735/1000</f>
        <v>2012.7349999999999</v>
      </c>
      <c r="AS7" s="140">
        <f>2091101/1000</f>
        <v>2091.1010000000001</v>
      </c>
      <c r="AT7" s="140">
        <v>2182.8319999999999</v>
      </c>
      <c r="AU7" s="140">
        <f>SUM(AQ7:AT7)</f>
        <v>8900.469000000001</v>
      </c>
      <c r="AV7" s="140">
        <f>'[1]Info complementaria (2)'!$U$22/1000</f>
        <v>2423.8679789100001</v>
      </c>
      <c r="AW7" s="140">
        <v>2445.4504522099996</v>
      </c>
      <c r="AX7" s="140">
        <v>2471.2620000000002</v>
      </c>
      <c r="AY7" s="140">
        <v>2528.7950000000001</v>
      </c>
      <c r="AZ7" s="140">
        <f>2656717/1000</f>
        <v>2656.7170000000001</v>
      </c>
      <c r="BA7" s="140">
        <v>2626.8739999999998</v>
      </c>
      <c r="BB7" s="140">
        <f>2770.789</f>
        <v>2770.7890000000002</v>
      </c>
      <c r="BC7" s="140">
        <v>2785.893</v>
      </c>
      <c r="BD7" s="140">
        <v>2785.893</v>
      </c>
      <c r="BE7" s="140">
        <v>2931.931</v>
      </c>
      <c r="BF7" s="140">
        <v>2841.2820000000002</v>
      </c>
      <c r="BG7" s="140">
        <v>2978.4479999999999</v>
      </c>
      <c r="BH7" s="140">
        <v>2898.0450000000001</v>
      </c>
      <c r="BI7" s="140">
        <v>2898.0450000000001</v>
      </c>
    </row>
    <row r="8" spans="1:61" ht="15.5" thickTop="1" thickBot="1" x14ac:dyDescent="0.4">
      <c r="B8" s="148" t="s">
        <v>240</v>
      </c>
      <c r="C8" s="142">
        <v>144.22077604530529</v>
      </c>
      <c r="D8" s="142">
        <v>174.01943091480362</v>
      </c>
      <c r="E8" s="142">
        <v>172.23386415313473</v>
      </c>
      <c r="F8" s="142">
        <v>188.4714946528585</v>
      </c>
      <c r="G8" s="142">
        <v>165.68468334322122</v>
      </c>
      <c r="H8" s="142">
        <v>185.06249936792631</v>
      </c>
      <c r="I8" s="142">
        <v>173.47561507332773</v>
      </c>
      <c r="J8" s="142">
        <v>187.88531259976455</v>
      </c>
      <c r="K8" s="142">
        <v>194.11315252271049</v>
      </c>
      <c r="L8" s="142">
        <v>170.91358370027956</v>
      </c>
      <c r="M8" s="142">
        <v>195.31180153714078</v>
      </c>
      <c r="N8" s="142">
        <v>205.62966040133236</v>
      </c>
      <c r="O8" s="142">
        <v>213.4246196717572</v>
      </c>
      <c r="P8" s="142">
        <v>232.02072478108292</v>
      </c>
      <c r="Q8" s="142">
        <v>210.25237251959572</v>
      </c>
      <c r="R8" s="142">
        <v>214.88760539796283</v>
      </c>
      <c r="S8" s="142">
        <v>215.94881036535381</v>
      </c>
      <c r="T8" s="142">
        <v>218.0058531315515</v>
      </c>
      <c r="U8" s="142">
        <v>197.58745810186122</v>
      </c>
      <c r="V8" s="142">
        <v>192.68004504889242</v>
      </c>
      <c r="W8" s="142">
        <v>236.1358141808721</v>
      </c>
      <c r="X8" s="142">
        <v>230.11250453388163</v>
      </c>
      <c r="Y8" s="142">
        <v>237.38792293593613</v>
      </c>
      <c r="Z8" s="142">
        <v>243.27351979977547</v>
      </c>
      <c r="AA8" s="142">
        <v>230.85006769491352</v>
      </c>
      <c r="AB8" s="142">
        <v>243.69242002958671</v>
      </c>
      <c r="AC8" s="142">
        <v>246.13736904740185</v>
      </c>
      <c r="AD8" s="142">
        <v>244.32731821332197</v>
      </c>
      <c r="AE8" s="142">
        <v>248.47725937371209</v>
      </c>
      <c r="AF8" s="142">
        <v>243.05679447147159</v>
      </c>
      <c r="AG8" s="157">
        <v>243.57715660153698</v>
      </c>
      <c r="AH8" s="157">
        <v>200.34362380776142</v>
      </c>
      <c r="AI8" s="157">
        <v>197.239852838899</v>
      </c>
      <c r="AJ8" s="157">
        <v>208.09371699905424</v>
      </c>
      <c r="AK8" s="142">
        <v>207.95812047527554</v>
      </c>
      <c r="AL8" s="157">
        <v>225.85592684511337</v>
      </c>
      <c r="AM8" s="157">
        <v>205.07476561813272</v>
      </c>
      <c r="AN8" s="157">
        <v>221.9632506201099</v>
      </c>
      <c r="AO8" s="157">
        <v>271.72022057150588</v>
      </c>
      <c r="AP8" s="142">
        <v>231.64789706301721</v>
      </c>
      <c r="AQ8" s="157">
        <v>255.92026775237522</v>
      </c>
      <c r="AR8" s="142">
        <v>261.3282077472785</v>
      </c>
      <c r="AS8" s="142">
        <v>261.94902990176126</v>
      </c>
      <c r="AT8" s="142">
        <v>269.58380550526857</v>
      </c>
      <c r="AU8" s="142">
        <v>274.80611240371144</v>
      </c>
      <c r="AV8" s="142">
        <v>298.5513148018203</v>
      </c>
      <c r="AW8" s="142">
        <v>297.8833839503742</v>
      </c>
      <c r="AX8" s="142">
        <v>300.89395113133384</v>
      </c>
      <c r="AY8" s="142">
        <v>304.16452259830641</v>
      </c>
      <c r="AZ8" s="142">
        <v>317.55954511162241</v>
      </c>
      <c r="BA8" s="142">
        <v>311.67297293023756</v>
      </c>
      <c r="BB8" s="142">
        <v>328.29420428314199</v>
      </c>
      <c r="BC8" s="142">
        <v>325.92215353565479</v>
      </c>
      <c r="BD8" s="142">
        <v>325.92215353565479</v>
      </c>
      <c r="BE8" s="142">
        <v>342.90661635923294</v>
      </c>
      <c r="BF8" s="142">
        <v>332.46007002126208</v>
      </c>
      <c r="BG8" s="142">
        <v>348.75199893797327</v>
      </c>
      <c r="BH8" s="142">
        <v>345.40121076784601</v>
      </c>
      <c r="BI8" s="142">
        <v>345.40121076784584</v>
      </c>
    </row>
    <row r="9" spans="1:61" ht="15.5" thickTop="1" thickBot="1" x14ac:dyDescent="0.4">
      <c r="B9" s="150" t="s">
        <v>24</v>
      </c>
      <c r="C9" s="143">
        <v>0.97599999999999998</v>
      </c>
      <c r="D9" s="143">
        <v>0.94710000000000005</v>
      </c>
      <c r="E9" s="143">
        <v>0.94830000000000003</v>
      </c>
      <c r="F9" s="143">
        <v>0.94879999999999998</v>
      </c>
      <c r="G9" s="143">
        <f>F9</f>
        <v>0.94879999999999998</v>
      </c>
      <c r="H9" s="143">
        <v>0.94650000000000001</v>
      </c>
      <c r="I9" s="143">
        <v>0.92969999999999997</v>
      </c>
      <c r="J9" s="143">
        <v>0.92905454684764377</v>
      </c>
      <c r="K9" s="143">
        <v>0.93236141168640618</v>
      </c>
      <c r="L9" s="143">
        <f>K9</f>
        <v>0.93236141168640618</v>
      </c>
      <c r="M9" s="143">
        <v>0.93224582027740988</v>
      </c>
      <c r="N9" s="143">
        <v>0.93593792085714622</v>
      </c>
      <c r="O9" s="143">
        <v>0.93766470773719934</v>
      </c>
      <c r="P9" s="143">
        <v>0.93555242462620369</v>
      </c>
      <c r="Q9" s="143">
        <f>P9</f>
        <v>0.93555242462620369</v>
      </c>
      <c r="R9" s="143">
        <v>0.93417206951065213</v>
      </c>
      <c r="S9" s="143">
        <v>0.93252905444822831</v>
      </c>
      <c r="T9" s="143">
        <v>0.93775120238917531</v>
      </c>
      <c r="U9" s="143">
        <v>0.94599999999999995</v>
      </c>
      <c r="V9" s="143">
        <f>U9</f>
        <v>0.94599999999999995</v>
      </c>
      <c r="W9" s="143">
        <v>0.94828040257466384</v>
      </c>
      <c r="X9" s="144">
        <v>0.94794231665711504</v>
      </c>
      <c r="Y9" s="144">
        <v>0.94792659911885846</v>
      </c>
      <c r="Z9" s="144">
        <v>0.94797994173525868</v>
      </c>
      <c r="AA9" s="143">
        <f>Z9</f>
        <v>0.94797994173525868</v>
      </c>
      <c r="AB9" s="144">
        <v>0.94540218806122966</v>
      </c>
      <c r="AC9" s="144">
        <v>0.9435559457770093</v>
      </c>
      <c r="AD9" s="144">
        <v>0.94339034549045875</v>
      </c>
      <c r="AE9" s="144">
        <v>0.9325168911108761</v>
      </c>
      <c r="AF9" s="143">
        <f>AE9</f>
        <v>0.9325168911108761</v>
      </c>
      <c r="AG9" s="144">
        <v>0.93032500165705589</v>
      </c>
      <c r="AH9" s="144">
        <v>0.92200000000000004</v>
      </c>
      <c r="AI9" s="144">
        <v>0.91600000000000004</v>
      </c>
      <c r="AJ9" s="144">
        <v>0.90900000000000003</v>
      </c>
      <c r="AK9" s="143">
        <f>AJ9</f>
        <v>0.90900000000000003</v>
      </c>
      <c r="AL9" s="144">
        <v>0.90200000000000002</v>
      </c>
      <c r="AM9" s="144">
        <v>0.89791394564438698</v>
      </c>
      <c r="AN9" s="144">
        <v>0.89551839545855827</v>
      </c>
      <c r="AO9" s="144">
        <v>0.89420943280637599</v>
      </c>
      <c r="AP9" s="143">
        <f>AO9</f>
        <v>0.89420943280637599</v>
      </c>
      <c r="AQ9" s="144">
        <v>0.89500000000000002</v>
      </c>
      <c r="AR9" s="144">
        <v>0.89399271787183443</v>
      </c>
      <c r="AS9" s="144">
        <v>0.89300000000000002</v>
      </c>
      <c r="AT9" s="144">
        <v>0.90015938027048636</v>
      </c>
      <c r="AU9" s="143">
        <f>AT9</f>
        <v>0.90015938027048636</v>
      </c>
      <c r="AV9" s="144">
        <v>0.90267950827859822</v>
      </c>
      <c r="AW9" s="144">
        <v>0.90600000000000003</v>
      </c>
      <c r="AX9" s="144">
        <v>0.90700000000000003</v>
      </c>
      <c r="AY9" s="144">
        <v>0.91783116123159425</v>
      </c>
      <c r="AZ9" s="144">
        <v>0.92200000000000004</v>
      </c>
      <c r="BA9" s="144">
        <v>0.92606337156178209</v>
      </c>
      <c r="BB9" s="144">
        <v>0.92678705763335989</v>
      </c>
      <c r="BC9" s="144">
        <v>0.93673837719932684</v>
      </c>
      <c r="BD9" s="144">
        <v>0.93673837719932684</v>
      </c>
      <c r="BE9" s="144">
        <v>0.93780417165842378</v>
      </c>
      <c r="BF9" s="144">
        <v>0.93689867426433493</v>
      </c>
      <c r="BG9" s="144">
        <v>0.93564142393530825</v>
      </c>
      <c r="BH9" s="144">
        <v>0.93718075142707802</v>
      </c>
      <c r="BI9" s="144">
        <v>0.93718075142707802</v>
      </c>
    </row>
    <row r="10" spans="1:61" ht="15.5" thickTop="1" thickBot="1" x14ac:dyDescent="0.4">
      <c r="B10" s="146" t="s">
        <v>25</v>
      </c>
      <c r="C10" s="131" t="s">
        <v>254</v>
      </c>
      <c r="D10" s="32" t="s">
        <v>255</v>
      </c>
      <c r="E10" s="32" t="s">
        <v>256</v>
      </c>
      <c r="F10" s="32" t="s">
        <v>257</v>
      </c>
      <c r="G10" s="34">
        <v>2014</v>
      </c>
      <c r="H10" s="32" t="s">
        <v>258</v>
      </c>
      <c r="I10" s="32" t="s">
        <v>259</v>
      </c>
      <c r="J10" s="32" t="s">
        <v>260</v>
      </c>
      <c r="K10" s="32" t="s">
        <v>261</v>
      </c>
      <c r="L10" s="34">
        <v>2015</v>
      </c>
      <c r="M10" s="32" t="s">
        <v>262</v>
      </c>
      <c r="N10" s="32" t="s">
        <v>263</v>
      </c>
      <c r="O10" s="32" t="s">
        <v>264</v>
      </c>
      <c r="P10" s="32" t="s">
        <v>265</v>
      </c>
      <c r="Q10" s="34">
        <v>2016</v>
      </c>
      <c r="R10" s="32" t="s">
        <v>266</v>
      </c>
      <c r="S10" s="32" t="s">
        <v>267</v>
      </c>
      <c r="T10" s="32" t="s">
        <v>268</v>
      </c>
      <c r="U10" s="32" t="s">
        <v>269</v>
      </c>
      <c r="V10" s="34">
        <v>2017</v>
      </c>
      <c r="W10" s="32" t="s">
        <v>270</v>
      </c>
      <c r="X10" s="32" t="s">
        <v>271</v>
      </c>
      <c r="Y10" s="32" t="s">
        <v>272</v>
      </c>
      <c r="Z10" s="32" t="s">
        <v>273</v>
      </c>
      <c r="AA10" s="34">
        <v>2018</v>
      </c>
      <c r="AB10" s="32" t="s">
        <v>274</v>
      </c>
      <c r="AC10" s="32" t="s">
        <v>275</v>
      </c>
      <c r="AD10" s="32" t="s">
        <v>276</v>
      </c>
      <c r="AE10" s="32" t="s">
        <v>277</v>
      </c>
      <c r="AF10" s="132">
        <v>2019</v>
      </c>
      <c r="AG10" s="32" t="s">
        <v>279</v>
      </c>
      <c r="AH10" s="32" t="s">
        <v>280</v>
      </c>
      <c r="AI10" s="32" t="s">
        <v>281</v>
      </c>
      <c r="AJ10" s="32" t="s">
        <v>282</v>
      </c>
      <c r="AK10" s="132">
        <v>2020</v>
      </c>
      <c r="AL10" s="32" t="s">
        <v>301</v>
      </c>
      <c r="AM10" s="32" t="s">
        <v>304</v>
      </c>
      <c r="AN10" s="32" t="s">
        <v>309</v>
      </c>
      <c r="AO10" s="32" t="s">
        <v>312</v>
      </c>
      <c r="AP10" s="132">
        <v>2021</v>
      </c>
      <c r="AQ10" s="32" t="s">
        <v>317</v>
      </c>
      <c r="AR10" s="32" t="s">
        <v>328</v>
      </c>
      <c r="AS10" s="32" t="s">
        <v>348</v>
      </c>
      <c r="AT10" s="32" t="s">
        <v>349</v>
      </c>
      <c r="AU10" s="132">
        <v>2022</v>
      </c>
      <c r="AV10" s="32" t="s">
        <v>359</v>
      </c>
      <c r="AW10" s="32" t="s">
        <v>380</v>
      </c>
      <c r="AX10" s="32" t="s">
        <v>389</v>
      </c>
      <c r="AY10" s="132">
        <v>2023</v>
      </c>
      <c r="AZ10" s="32" t="s">
        <v>403</v>
      </c>
      <c r="BA10" s="32" t="s">
        <v>405</v>
      </c>
      <c r="BB10" s="32" t="s">
        <v>406</v>
      </c>
      <c r="BC10" s="32" t="s">
        <v>413</v>
      </c>
      <c r="BD10" s="132">
        <v>2024</v>
      </c>
      <c r="BE10" s="32" t="s">
        <v>414</v>
      </c>
      <c r="BF10" s="32" t="s">
        <v>437</v>
      </c>
      <c r="BG10" s="32" t="s">
        <v>438</v>
      </c>
      <c r="BH10" s="32" t="s">
        <v>443</v>
      </c>
      <c r="BI10" s="132">
        <v>2025</v>
      </c>
    </row>
    <row r="11" spans="1:61" ht="15.5" thickTop="1" thickBot="1" x14ac:dyDescent="0.4">
      <c r="B11" s="147" t="s">
        <v>21</v>
      </c>
      <c r="C11" s="133">
        <v>2700.81</v>
      </c>
      <c r="D11" s="133">
        <v>3109.7</v>
      </c>
      <c r="E11" s="133">
        <v>3118.4</v>
      </c>
      <c r="F11" s="133">
        <v>3136</v>
      </c>
      <c r="G11" s="133">
        <f>F11</f>
        <v>3136</v>
      </c>
      <c r="H11" s="133">
        <v>3208.8</v>
      </c>
      <c r="I11" s="133">
        <v>3217.2</v>
      </c>
      <c r="J11" s="133">
        <v>3356.78955</v>
      </c>
      <c r="K11" s="133">
        <v>3400.6897099999992</v>
      </c>
      <c r="L11" s="133">
        <f>K11</f>
        <v>3400.6897099999992</v>
      </c>
      <c r="M11" s="133">
        <v>3418.497319999999</v>
      </c>
      <c r="N11" s="133">
        <v>3458.6620199999979</v>
      </c>
      <c r="O11" s="133">
        <v>3566.3943799999993</v>
      </c>
      <c r="P11" s="133">
        <v>3570.2776999999992</v>
      </c>
      <c r="Q11" s="133">
        <f>P11</f>
        <v>3570.2776999999992</v>
      </c>
      <c r="R11" s="133">
        <v>3793.8840399999981</v>
      </c>
      <c r="S11" s="133">
        <v>3802.881249999999</v>
      </c>
      <c r="T11" s="133">
        <v>3866.3126799999986</v>
      </c>
      <c r="U11" s="134">
        <v>4002.9</v>
      </c>
      <c r="V11" s="133">
        <f>U11</f>
        <v>4002.9</v>
      </c>
      <c r="W11" s="133">
        <v>4005.7487899999992</v>
      </c>
      <c r="X11" s="133">
        <v>4086.9526299999993</v>
      </c>
      <c r="Y11" s="133">
        <v>4072.3413899999964</v>
      </c>
      <c r="Z11" s="133">
        <v>4117.666119999998</v>
      </c>
      <c r="AA11" s="133">
        <f>Z11</f>
        <v>4117.666119999998</v>
      </c>
      <c r="AB11" s="133">
        <v>4118.8944199999987</v>
      </c>
      <c r="AC11" s="133">
        <v>4118.9298299999982</v>
      </c>
      <c r="AD11" s="133">
        <v>4130.4897999999985</v>
      </c>
      <c r="AE11" s="133">
        <v>5423.7595114880796</v>
      </c>
      <c r="AF11" s="133">
        <f>AE11</f>
        <v>5423.7595114880796</v>
      </c>
      <c r="AG11" s="133">
        <v>5459.4633777775034</v>
      </c>
      <c r="AH11" s="133">
        <v>5558.7855916503095</v>
      </c>
      <c r="AI11" s="133">
        <v>5723.4783506487129</v>
      </c>
      <c r="AJ11" s="133">
        <v>5788.7439999999997</v>
      </c>
      <c r="AK11" s="133">
        <f>AJ11</f>
        <v>5788.7439999999997</v>
      </c>
      <c r="AL11" s="133">
        <v>5792.0410899143635</v>
      </c>
      <c r="AM11" s="133">
        <f>'[2]Resumen Gral'!$E$4/1000</f>
        <v>5789.136359856122</v>
      </c>
      <c r="AN11" s="133">
        <v>5780.2134098561237</v>
      </c>
      <c r="AO11" s="133">
        <v>6029.8708583287753</v>
      </c>
      <c r="AP11" s="133">
        <f>AO11</f>
        <v>6029.8708583287753</v>
      </c>
      <c r="AQ11" s="133">
        <v>6062.6805310235222</v>
      </c>
      <c r="AR11" s="133">
        <v>6178.8827351016889</v>
      </c>
      <c r="AS11" s="133">
        <v>6260.4632351016844</v>
      </c>
      <c r="AT11" s="133">
        <v>6000.322880755476</v>
      </c>
      <c r="AU11" s="133">
        <f>AT11</f>
        <v>6000.322880755476</v>
      </c>
      <c r="AV11" s="133">
        <v>6003.0089058287585</v>
      </c>
      <c r="AW11" s="133">
        <v>6012.5406558154336</v>
      </c>
      <c r="AX11" s="133">
        <v>6021.7</v>
      </c>
      <c r="AY11" s="133">
        <v>6045.2805877317023</v>
      </c>
      <c r="AZ11" s="133">
        <v>6044.3</v>
      </c>
      <c r="BA11" s="133">
        <v>6045.22269835108</v>
      </c>
      <c r="BB11" s="133">
        <v>6061.2165235510793</v>
      </c>
      <c r="BC11" s="133">
        <v>6053.0453339510805</v>
      </c>
      <c r="BD11" s="133">
        <v>6053.0453339510805</v>
      </c>
      <c r="BE11" s="133">
        <v>6067.5897339510875</v>
      </c>
      <c r="BF11" s="133">
        <v>6071.1416345946564</v>
      </c>
      <c r="BG11" s="133">
        <v>6071.1995945946574</v>
      </c>
      <c r="BH11" s="133">
        <v>7542.978070000001</v>
      </c>
      <c r="BI11" s="133">
        <v>7542.978070000001</v>
      </c>
    </row>
    <row r="12" spans="1:61" ht="15.5" thickTop="1" thickBot="1" x14ac:dyDescent="0.4">
      <c r="B12" s="148" t="s">
        <v>22</v>
      </c>
      <c r="C12" s="135">
        <v>73</v>
      </c>
      <c r="D12" s="135">
        <v>102</v>
      </c>
      <c r="E12" s="135">
        <v>102</v>
      </c>
      <c r="F12" s="135">
        <v>102</v>
      </c>
      <c r="G12" s="135">
        <f>F12</f>
        <v>102</v>
      </c>
      <c r="H12" s="135">
        <v>102</v>
      </c>
      <c r="I12" s="135">
        <v>101</v>
      </c>
      <c r="J12" s="135">
        <v>102</v>
      </c>
      <c r="K12" s="135">
        <v>102</v>
      </c>
      <c r="L12" s="135">
        <f>K12</f>
        <v>102</v>
      </c>
      <c r="M12" s="136">
        <v>103</v>
      </c>
      <c r="N12" s="136">
        <v>104</v>
      </c>
      <c r="O12" s="136">
        <v>105</v>
      </c>
      <c r="P12" s="136">
        <v>105</v>
      </c>
      <c r="Q12" s="135">
        <f>P12</f>
        <v>105</v>
      </c>
      <c r="R12" s="136">
        <v>106</v>
      </c>
      <c r="S12" s="136">
        <v>106</v>
      </c>
      <c r="T12" s="136">
        <v>107</v>
      </c>
      <c r="U12" s="137">
        <v>114</v>
      </c>
      <c r="V12" s="135">
        <f>U12</f>
        <v>114</v>
      </c>
      <c r="W12" s="136">
        <v>114</v>
      </c>
      <c r="X12" s="140">
        <v>116</v>
      </c>
      <c r="Y12" s="140">
        <v>116</v>
      </c>
      <c r="Z12" s="140">
        <v>116</v>
      </c>
      <c r="AA12" s="135">
        <f>Z12</f>
        <v>116</v>
      </c>
      <c r="AB12" s="140">
        <v>116</v>
      </c>
      <c r="AC12" s="140">
        <v>116</v>
      </c>
      <c r="AD12" s="140">
        <v>116</v>
      </c>
      <c r="AE12" s="140">
        <v>191</v>
      </c>
      <c r="AF12" s="135">
        <f>AE12</f>
        <v>191</v>
      </c>
      <c r="AG12" s="140">
        <v>191</v>
      </c>
      <c r="AH12" s="140">
        <v>194</v>
      </c>
      <c r="AI12" s="140">
        <v>194</v>
      </c>
      <c r="AJ12" s="140">
        <v>192</v>
      </c>
      <c r="AK12" s="135">
        <f>AJ12</f>
        <v>192</v>
      </c>
      <c r="AL12" s="140">
        <v>192</v>
      </c>
      <c r="AM12" s="140">
        <v>192</v>
      </c>
      <c r="AN12" s="140">
        <v>192</v>
      </c>
      <c r="AO12" s="140">
        <v>197</v>
      </c>
      <c r="AP12" s="135">
        <f>AO12</f>
        <v>197</v>
      </c>
      <c r="AQ12" s="140">
        <v>198</v>
      </c>
      <c r="AR12" s="140">
        <v>195</v>
      </c>
      <c r="AS12" s="140">
        <v>196</v>
      </c>
      <c r="AT12" s="140">
        <v>180</v>
      </c>
      <c r="AU12" s="135">
        <f>AT12</f>
        <v>180</v>
      </c>
      <c r="AV12" s="140">
        <v>180</v>
      </c>
      <c r="AW12" s="140">
        <v>180</v>
      </c>
      <c r="AX12" s="140">
        <v>180</v>
      </c>
      <c r="AY12" s="140">
        <v>180</v>
      </c>
      <c r="AZ12" s="140">
        <v>181</v>
      </c>
      <c r="BA12" s="140">
        <v>181</v>
      </c>
      <c r="BB12" s="140">
        <v>181</v>
      </c>
      <c r="BC12" s="140">
        <v>180</v>
      </c>
      <c r="BD12" s="140">
        <v>180</v>
      </c>
      <c r="BE12" s="140">
        <v>181</v>
      </c>
      <c r="BF12" s="140">
        <v>181</v>
      </c>
      <c r="BG12" s="140">
        <v>181</v>
      </c>
      <c r="BH12" s="140">
        <v>201</v>
      </c>
      <c r="BI12" s="140">
        <v>201</v>
      </c>
    </row>
    <row r="13" spans="1:61" ht="15.5" thickTop="1" thickBot="1" x14ac:dyDescent="0.4">
      <c r="B13" s="148" t="s">
        <v>23</v>
      </c>
      <c r="C13" s="135"/>
      <c r="D13" s="133">
        <v>3.4</v>
      </c>
      <c r="E13" s="133">
        <v>3.4</v>
      </c>
      <c r="F13" s="133">
        <v>3.3</v>
      </c>
      <c r="G13" s="133">
        <f>F13</f>
        <v>3.3</v>
      </c>
      <c r="H13" s="133">
        <v>3.6</v>
      </c>
      <c r="I13" s="133">
        <v>3.3</v>
      </c>
      <c r="J13" s="133">
        <v>3.3</v>
      </c>
      <c r="K13" s="133">
        <v>3.3966371031879232</v>
      </c>
      <c r="L13" s="133">
        <f>K13</f>
        <v>3.3966371031879232</v>
      </c>
      <c r="M13" s="133">
        <v>3.2503535892915609</v>
      </c>
      <c r="N13" s="133">
        <v>3.2080092368379702</v>
      </c>
      <c r="O13" s="133">
        <v>3.6000933306121787</v>
      </c>
      <c r="P13" s="133">
        <v>3.4440941570123549</v>
      </c>
      <c r="Q13" s="133">
        <f>P13</f>
        <v>3.4440941570123549</v>
      </c>
      <c r="R13" s="133">
        <v>3.2905405947685171</v>
      </c>
      <c r="S13" s="133">
        <v>3.6845790556530615</v>
      </c>
      <c r="T13" s="133">
        <v>3.6506438129103702</v>
      </c>
      <c r="U13" s="139">
        <v>3.5</v>
      </c>
      <c r="V13" s="133">
        <f>U13</f>
        <v>3.5</v>
      </c>
      <c r="W13" s="133">
        <v>3.6193103072414776</v>
      </c>
      <c r="X13" s="133">
        <v>3.781769747271797</v>
      </c>
      <c r="Y13" s="133">
        <v>3.8912534591372721</v>
      </c>
      <c r="Z13" s="133">
        <v>3.5922217919728556</v>
      </c>
      <c r="AA13" s="133">
        <f>Z13</f>
        <v>3.5922217919728556</v>
      </c>
      <c r="AB13" s="133">
        <v>3.5785204597132192</v>
      </c>
      <c r="AC13" s="133">
        <v>3.5337167037033543</v>
      </c>
      <c r="AD13" s="133">
        <v>3.5058912097171189</v>
      </c>
      <c r="AE13" s="133">
        <v>3.6928190382861148</v>
      </c>
      <c r="AF13" s="133">
        <f>AE13</f>
        <v>3.6928190382861148</v>
      </c>
      <c r="AG13" s="133">
        <v>3.6788171179929043</v>
      </c>
      <c r="AH13" s="133">
        <v>3.715627216963445</v>
      </c>
      <c r="AI13" s="133">
        <v>3.7</v>
      </c>
      <c r="AJ13" s="133">
        <v>3.7</v>
      </c>
      <c r="AK13" s="133">
        <f>AJ13</f>
        <v>3.7</v>
      </c>
      <c r="AL13" s="133">
        <v>3.9</v>
      </c>
      <c r="AM13" s="133">
        <v>3.8</v>
      </c>
      <c r="AN13" s="133">
        <v>3.8061078629135277</v>
      </c>
      <c r="AO13" s="133">
        <v>3.7143318295423953</v>
      </c>
      <c r="AP13" s="133">
        <f>AO13</f>
        <v>3.7143318295423953</v>
      </c>
      <c r="AQ13" s="133">
        <v>3.7</v>
      </c>
      <c r="AR13" s="133">
        <v>3.7712299096890169</v>
      </c>
      <c r="AS13" s="133">
        <v>3.7334260649097391</v>
      </c>
      <c r="AT13" s="133">
        <v>3.7178398360131455</v>
      </c>
      <c r="AU13" s="133">
        <f>AT13</f>
        <v>3.7178398360131455</v>
      </c>
      <c r="AV13" s="133">
        <v>3.5902814442449427</v>
      </c>
      <c r="AW13" s="133">
        <v>3.6</v>
      </c>
      <c r="AX13" s="133">
        <v>3.6</v>
      </c>
      <c r="AY13" s="133">
        <v>3.650518644888777</v>
      </c>
      <c r="AZ13" s="133">
        <v>3.7</v>
      </c>
      <c r="BA13" s="133">
        <v>3.6760345647900272</v>
      </c>
      <c r="BB13" s="133">
        <v>3.5580169965607036</v>
      </c>
      <c r="BC13" s="133">
        <v>3.5290162997613717</v>
      </c>
      <c r="BD13" s="133">
        <v>3.5290162997613717</v>
      </c>
      <c r="BE13" s="133">
        <v>3.5227777973803147</v>
      </c>
      <c r="BF13" s="133">
        <v>3.5227777973803147</v>
      </c>
      <c r="BG13" s="133">
        <v>3.4812331664524465</v>
      </c>
      <c r="BH13" s="133">
        <v>3.7129086729513272</v>
      </c>
      <c r="BI13" s="133">
        <v>3.7129086729513272</v>
      </c>
    </row>
    <row r="14" spans="1:61" s="91" customFormat="1" ht="15.5" thickTop="1" thickBot="1" x14ac:dyDescent="0.4">
      <c r="B14" s="149" t="s">
        <v>241</v>
      </c>
      <c r="C14" s="140">
        <v>378.45</v>
      </c>
      <c r="D14" s="140">
        <v>505.35199999999998</v>
      </c>
      <c r="E14" s="140">
        <v>509.51</v>
      </c>
      <c r="F14" s="140">
        <v>505.89499999999998</v>
      </c>
      <c r="G14" s="140">
        <f>SUM(C14:F14)</f>
        <v>1899.2069999999999</v>
      </c>
      <c r="H14" s="140">
        <v>590.30700000000002</v>
      </c>
      <c r="I14" s="140">
        <v>620.56899999999996</v>
      </c>
      <c r="J14" s="140">
        <v>651.5</v>
      </c>
      <c r="K14" s="140">
        <v>680.2</v>
      </c>
      <c r="L14" s="140">
        <f>SUM(H14:K14)</f>
        <v>2542.576</v>
      </c>
      <c r="M14" s="140">
        <v>724.3</v>
      </c>
      <c r="N14" s="140">
        <v>679.755</v>
      </c>
      <c r="O14" s="140">
        <v>763.53599999999994</v>
      </c>
      <c r="P14" s="140">
        <v>722.45100000000002</v>
      </c>
      <c r="Q14" s="140">
        <f>SUM(M14:P14)</f>
        <v>2890.0419999999999</v>
      </c>
      <c r="R14" s="140">
        <v>863.43100000000004</v>
      </c>
      <c r="S14" s="140">
        <v>806.32</v>
      </c>
      <c r="T14" s="140">
        <v>813.62300000000005</v>
      </c>
      <c r="U14" s="141">
        <v>836.3</v>
      </c>
      <c r="V14" s="140">
        <f>SUM(R14:U14)</f>
        <v>3319.674</v>
      </c>
      <c r="W14" s="140">
        <v>913.25699999999995</v>
      </c>
      <c r="X14" s="140">
        <v>931.74199999999996</v>
      </c>
      <c r="Y14" s="140">
        <v>937.46799999999996</v>
      </c>
      <c r="Z14" s="140">
        <v>977.56500000000005</v>
      </c>
      <c r="AA14" s="140">
        <f>SUM(W14:Z14)</f>
        <v>3760.0319999999997</v>
      </c>
      <c r="AB14" s="140">
        <v>975.87</v>
      </c>
      <c r="AC14" s="140">
        <v>1004.297</v>
      </c>
      <c r="AD14" s="140">
        <v>1025.0530000000001</v>
      </c>
      <c r="AE14" s="140">
        <v>1246.0160000000001</v>
      </c>
      <c r="AF14" s="140">
        <f>SUM(AB14:AE14)</f>
        <v>4251.2360000000008</v>
      </c>
      <c r="AG14" s="140">
        <v>1343</v>
      </c>
      <c r="AH14" s="140">
        <v>1560.7920090700002</v>
      </c>
      <c r="AI14" s="140">
        <f>1489033.23171/1000</f>
        <v>1489.0332317099999</v>
      </c>
      <c r="AJ14" s="140">
        <f>1559703.30577091/1000</f>
        <v>1559.7033057709102</v>
      </c>
      <c r="AK14" s="140">
        <f>SUM(AG14:AJ14)</f>
        <v>5952.5285465509105</v>
      </c>
      <c r="AL14" s="140">
        <v>1495.3828315800001</v>
      </c>
      <c r="AM14" s="140">
        <v>1494.6483162699999</v>
      </c>
      <c r="AN14" s="140">
        <v>1517.02793774</v>
      </c>
      <c r="AO14" s="140">
        <v>1722.288</v>
      </c>
      <c r="AP14" s="140">
        <f>SUM(AL14:AO14)</f>
        <v>6229.3470855899996</v>
      </c>
      <c r="AQ14" s="140">
        <f>1712.826</f>
        <v>1712.826</v>
      </c>
      <c r="AR14" s="140">
        <f>1773387/1000</f>
        <v>1773.3869999999999</v>
      </c>
      <c r="AS14" s="140">
        <f>1884449/1000</f>
        <v>1884.4490000000001</v>
      </c>
      <c r="AT14" s="140">
        <v>1849.748</v>
      </c>
      <c r="AU14" s="140">
        <f>SUM(AQ14:AT14)</f>
        <v>7220.41</v>
      </c>
      <c r="AV14" s="140">
        <v>1854.5133951999996</v>
      </c>
      <c r="AW14" s="140">
        <v>1891.7963318600002</v>
      </c>
      <c r="AX14" s="140">
        <v>1789.7149999999999</v>
      </c>
      <c r="AY14" s="140">
        <v>1878.2739999999999</v>
      </c>
      <c r="AZ14" s="140">
        <f>1894610/1000</f>
        <v>1894.61</v>
      </c>
      <c r="BA14" s="140">
        <v>1915.43</v>
      </c>
      <c r="BB14" s="140">
        <v>2017.663</v>
      </c>
      <c r="BC14" s="140">
        <v>2109.453</v>
      </c>
      <c r="BD14" s="140">
        <v>2109.453</v>
      </c>
      <c r="BE14" s="140">
        <v>2201.1759999999999</v>
      </c>
      <c r="BF14" s="140">
        <v>2188.9090000000001</v>
      </c>
      <c r="BG14" s="140">
        <v>2111.386</v>
      </c>
      <c r="BH14" s="140">
        <v>2321.1219999999998</v>
      </c>
      <c r="BI14" s="140">
        <v>2321.1219999999998</v>
      </c>
    </row>
    <row r="15" spans="1:61" ht="15.5" thickTop="1" thickBot="1" x14ac:dyDescent="0.4">
      <c r="B15" s="148" t="s">
        <v>240</v>
      </c>
      <c r="C15" s="142">
        <v>50.116104891946812</v>
      </c>
      <c r="D15" s="142">
        <v>56.609287122141417</v>
      </c>
      <c r="E15" s="142">
        <v>56.850478788794135</v>
      </c>
      <c r="F15" s="142">
        <v>55.809914780650189</v>
      </c>
      <c r="G15" s="142">
        <v>52.379733354161594</v>
      </c>
      <c r="H15" s="142">
        <v>64.083684696221141</v>
      </c>
      <c r="I15" s="142">
        <v>66.809027171664965</v>
      </c>
      <c r="J15" s="142">
        <v>67.110738346075564</v>
      </c>
      <c r="K15" s="142">
        <v>68.820021045247458</v>
      </c>
      <c r="L15" s="142">
        <v>64.312016255932477</v>
      </c>
      <c r="M15" s="142">
        <v>73.12250802848898</v>
      </c>
      <c r="N15" s="142">
        <v>69.156794102050071</v>
      </c>
      <c r="O15" s="142">
        <v>74.079476667406922</v>
      </c>
      <c r="P15" s="142">
        <v>69.873162092357248</v>
      </c>
      <c r="Q15" s="142">
        <v>69.878916743045664</v>
      </c>
      <c r="R15" s="142">
        <v>79.959846077469976</v>
      </c>
      <c r="S15" s="142">
        <v>74.142664886911717</v>
      </c>
      <c r="T15" s="142">
        <v>73.934924571665832</v>
      </c>
      <c r="U15" s="142">
        <v>72.241884661283081</v>
      </c>
      <c r="V15" s="142">
        <v>71.690633212083071</v>
      </c>
      <c r="W15" s="142">
        <v>78.398273862227882</v>
      </c>
      <c r="X15" s="142">
        <v>78.08088337217049</v>
      </c>
      <c r="Y15" s="142">
        <v>78.809912384176968</v>
      </c>
      <c r="Z15" s="142">
        <v>81.409975048031939</v>
      </c>
      <c r="AA15" s="142">
        <v>78.282291024075533</v>
      </c>
      <c r="AB15" s="142">
        <v>80.922406271198184</v>
      </c>
      <c r="AC15" s="142">
        <v>83.508000321071506</v>
      </c>
      <c r="AD15" s="142">
        <v>85.222639222055847</v>
      </c>
      <c r="AE15" s="142">
        <v>79.258001476176005</v>
      </c>
      <c r="AF15" s="142">
        <v>67.604362456736638</v>
      </c>
      <c r="AG15" s="142">
        <v>84.593847803762941</v>
      </c>
      <c r="AH15" s="142">
        <v>97.267489918878894</v>
      </c>
      <c r="AI15" s="142">
        <v>90.334128304771596</v>
      </c>
      <c r="AJ15" s="142">
        <v>93.263155819190629</v>
      </c>
      <c r="AK15" s="142">
        <v>88.983525793189969</v>
      </c>
      <c r="AL15" s="142">
        <v>89.645453440980972</v>
      </c>
      <c r="AM15" s="142">
        <v>90.115731355954665</v>
      </c>
      <c r="AN15" s="142">
        <v>91.136295323574203</v>
      </c>
      <c r="AO15" s="142">
        <v>99.51939329591643</v>
      </c>
      <c r="AP15" s="142">
        <v>89.987975673581033</v>
      </c>
      <c r="AQ15" s="142">
        <v>97.588803814598862</v>
      </c>
      <c r="AR15" s="142">
        <v>98.152957295736712</v>
      </c>
      <c r="AS15" s="142">
        <v>102.80325045865425</v>
      </c>
      <c r="AT15" s="142">
        <v>104.87868383696332</v>
      </c>
      <c r="AU15" s="142">
        <v>102.34733292903256</v>
      </c>
      <c r="AV15" s="142">
        <v>105.1524985525153</v>
      </c>
      <c r="AW15" s="142">
        <v>107.45961509167849</v>
      </c>
      <c r="AX15" s="142">
        <v>101.50646192082534</v>
      </c>
      <c r="AY15" s="142">
        <v>105.15426333411456</v>
      </c>
      <c r="AZ15" s="142">
        <v>106.18360365229317</v>
      </c>
      <c r="BA15" s="142">
        <v>107.47591559248615</v>
      </c>
      <c r="BB15" s="142">
        <v>112.79685405433656</v>
      </c>
      <c r="BC15" s="142">
        <v>118.24857524674373</v>
      </c>
      <c r="BD15" s="142">
        <v>118.24857524674373</v>
      </c>
      <c r="BE15" s="142">
        <v>123.17881654038474</v>
      </c>
      <c r="BF15" s="142">
        <v>123.33228906962468</v>
      </c>
      <c r="BG15" s="142">
        <v>119.0380287376381</v>
      </c>
      <c r="BH15" s="142">
        <v>120.24798042896801</v>
      </c>
      <c r="BI15" s="142">
        <v>120.24798042896801</v>
      </c>
    </row>
    <row r="16" spans="1:61" ht="15.5" thickTop="1" thickBot="1" x14ac:dyDescent="0.4">
      <c r="B16" s="150" t="s">
        <v>24</v>
      </c>
      <c r="C16" s="143">
        <v>0.93200000000000005</v>
      </c>
      <c r="D16" s="143">
        <v>0.95689999999999997</v>
      </c>
      <c r="E16" s="143">
        <v>0.95799999999999996</v>
      </c>
      <c r="F16" s="143">
        <v>0.96350000000000002</v>
      </c>
      <c r="G16" s="143">
        <f>F16</f>
        <v>0.96350000000000002</v>
      </c>
      <c r="H16" s="143">
        <v>0.95689999999999997</v>
      </c>
      <c r="I16" s="143">
        <v>0.96240000000000003</v>
      </c>
      <c r="J16" s="143">
        <v>0.96399999999999997</v>
      </c>
      <c r="K16" s="143">
        <v>0.96879873818302564</v>
      </c>
      <c r="L16" s="143">
        <f>K16</f>
        <v>0.96879873818302564</v>
      </c>
      <c r="M16" s="143">
        <v>0.96585272151098234</v>
      </c>
      <c r="N16" s="143">
        <v>0.94730139893807819</v>
      </c>
      <c r="O16" s="143">
        <v>0.96334310060235084</v>
      </c>
      <c r="P16" s="143">
        <v>0.96532765224396944</v>
      </c>
      <c r="Q16" s="143">
        <f>P16</f>
        <v>0.96532765224396944</v>
      </c>
      <c r="R16" s="143">
        <v>0.94874692321908705</v>
      </c>
      <c r="S16" s="143">
        <v>0.95324650487048457</v>
      </c>
      <c r="T16" s="143">
        <v>0.94875778903634866</v>
      </c>
      <c r="U16" s="143">
        <v>0.96399999999999997</v>
      </c>
      <c r="V16" s="143">
        <f>U16</f>
        <v>0.96399999999999997</v>
      </c>
      <c r="W16" s="143">
        <v>0.96935207462173367</v>
      </c>
      <c r="X16" s="144">
        <v>0.9732627363483779</v>
      </c>
      <c r="Y16" s="144">
        <v>0.97366638016563734</v>
      </c>
      <c r="Z16" s="144">
        <v>0.97206574388309075</v>
      </c>
      <c r="AA16" s="143">
        <f>Z16</f>
        <v>0.97206574388309075</v>
      </c>
      <c r="AB16" s="144">
        <v>0.97593583377162652</v>
      </c>
      <c r="AC16" s="144">
        <v>0.97325901033861506</v>
      </c>
      <c r="AD16" s="144">
        <v>0.97066312813555433</v>
      </c>
      <c r="AE16" s="144">
        <v>0.96618173328019374</v>
      </c>
      <c r="AF16" s="143">
        <f>AE16</f>
        <v>0.96618173328019374</v>
      </c>
      <c r="AG16" s="144">
        <v>0.96931742807189669</v>
      </c>
      <c r="AH16" s="144">
        <v>0.96222391451640554</v>
      </c>
      <c r="AI16" s="144">
        <v>0.96</v>
      </c>
      <c r="AJ16" s="144">
        <v>0.96299999999999997</v>
      </c>
      <c r="AK16" s="143">
        <f>AJ16</f>
        <v>0.96299999999999997</v>
      </c>
      <c r="AL16" s="144">
        <v>0.96</v>
      </c>
      <c r="AM16" s="144">
        <v>0.95499999999999996</v>
      </c>
      <c r="AN16" s="144">
        <v>0.95992450908001703</v>
      </c>
      <c r="AO16" s="144">
        <v>0.95668461578528696</v>
      </c>
      <c r="AP16" s="143">
        <f>AO16</f>
        <v>0.95668461578528696</v>
      </c>
      <c r="AQ16" s="144">
        <v>0.96499999999999997</v>
      </c>
      <c r="AR16" s="144">
        <v>0.97469541577777374</v>
      </c>
      <c r="AS16" s="144">
        <v>0.97599999999999998</v>
      </c>
      <c r="AT16" s="144">
        <v>0.97978201329001402</v>
      </c>
      <c r="AU16" s="143">
        <f>AT16</f>
        <v>0.97978201329001402</v>
      </c>
      <c r="AV16" s="144">
        <v>0.97930987930558933</v>
      </c>
      <c r="AW16" s="144">
        <v>0.97599999999999998</v>
      </c>
      <c r="AX16" s="144">
        <v>0.97599999999999998</v>
      </c>
      <c r="AY16" s="144">
        <v>0.98490500338641185</v>
      </c>
      <c r="AZ16" s="144">
        <v>0.98399999999999999</v>
      </c>
      <c r="BA16" s="144">
        <v>0.98270139493313891</v>
      </c>
      <c r="BB16" s="144">
        <v>0.98371793523353934</v>
      </c>
      <c r="BC16" s="144">
        <v>0.98237828826397133</v>
      </c>
      <c r="BD16" s="144">
        <v>0.98237828826397133</v>
      </c>
      <c r="BE16" s="144">
        <v>0.98170562433237329</v>
      </c>
      <c r="BF16" s="144">
        <v>0.97444940627343135</v>
      </c>
      <c r="BG16" s="144">
        <v>0.97383671861102938</v>
      </c>
      <c r="BH16" s="144">
        <v>0.97747187978964467</v>
      </c>
      <c r="BI16" s="144">
        <v>0.97747187978964467</v>
      </c>
    </row>
    <row r="17" spans="2:61" ht="15.5" thickTop="1" thickBot="1" x14ac:dyDescent="0.4">
      <c r="B17" s="146" t="s">
        <v>26</v>
      </c>
      <c r="C17" s="131" t="s">
        <v>254</v>
      </c>
      <c r="D17" s="32" t="s">
        <v>255</v>
      </c>
      <c r="E17" s="32" t="s">
        <v>256</v>
      </c>
      <c r="F17" s="32" t="s">
        <v>257</v>
      </c>
      <c r="G17" s="34">
        <v>2014</v>
      </c>
      <c r="H17" s="32" t="s">
        <v>258</v>
      </c>
      <c r="I17" s="32" t="s">
        <v>259</v>
      </c>
      <c r="J17" s="32" t="s">
        <v>260</v>
      </c>
      <c r="K17" s="32" t="s">
        <v>261</v>
      </c>
      <c r="L17" s="34">
        <v>2015</v>
      </c>
      <c r="M17" s="32" t="s">
        <v>262</v>
      </c>
      <c r="N17" s="32" t="s">
        <v>263</v>
      </c>
      <c r="O17" s="32" t="s">
        <v>264</v>
      </c>
      <c r="P17" s="32" t="s">
        <v>265</v>
      </c>
      <c r="Q17" s="34">
        <v>2016</v>
      </c>
      <c r="R17" s="32" t="s">
        <v>266</v>
      </c>
      <c r="S17" s="32" t="s">
        <v>267</v>
      </c>
      <c r="T17" s="32" t="s">
        <v>268</v>
      </c>
      <c r="U17" s="32" t="s">
        <v>269</v>
      </c>
      <c r="V17" s="34">
        <v>2017</v>
      </c>
      <c r="W17" s="32" t="s">
        <v>270</v>
      </c>
      <c r="X17" s="32" t="s">
        <v>271</v>
      </c>
      <c r="Y17" s="32" t="s">
        <v>272</v>
      </c>
      <c r="Z17" s="32" t="s">
        <v>273</v>
      </c>
      <c r="AA17" s="34">
        <v>2018</v>
      </c>
      <c r="AB17" s="32" t="s">
        <v>274</v>
      </c>
      <c r="AC17" s="32" t="s">
        <v>275</v>
      </c>
      <c r="AD17" s="32" t="s">
        <v>276</v>
      </c>
      <c r="AE17" s="32" t="s">
        <v>277</v>
      </c>
      <c r="AF17" s="132">
        <v>2019</v>
      </c>
      <c r="AG17" s="32" t="s">
        <v>279</v>
      </c>
      <c r="AH17" s="32" t="s">
        <v>280</v>
      </c>
      <c r="AI17" s="32" t="s">
        <v>281</v>
      </c>
      <c r="AJ17" s="32" t="s">
        <v>282</v>
      </c>
      <c r="AK17" s="132">
        <v>2020</v>
      </c>
      <c r="AL17" s="32" t="s">
        <v>301</v>
      </c>
      <c r="AM17" s="32" t="s">
        <v>304</v>
      </c>
      <c r="AN17" s="32" t="s">
        <v>309</v>
      </c>
      <c r="AO17" s="32" t="s">
        <v>312</v>
      </c>
      <c r="AP17" s="132">
        <v>2021</v>
      </c>
      <c r="AQ17" s="32" t="s">
        <v>317</v>
      </c>
      <c r="AR17" s="32" t="s">
        <v>328</v>
      </c>
      <c r="AS17" s="32" t="s">
        <v>348</v>
      </c>
      <c r="AT17" s="32" t="s">
        <v>349</v>
      </c>
      <c r="AU17" s="132">
        <v>2022</v>
      </c>
      <c r="AV17" s="32" t="s">
        <v>359</v>
      </c>
      <c r="AW17" s="32" t="s">
        <v>380</v>
      </c>
      <c r="AX17" s="32" t="s">
        <v>389</v>
      </c>
      <c r="AY17" s="132">
        <v>2023</v>
      </c>
      <c r="AZ17" s="32" t="s">
        <v>403</v>
      </c>
      <c r="BA17" s="32" t="s">
        <v>405</v>
      </c>
      <c r="BB17" s="32" t="s">
        <v>406</v>
      </c>
      <c r="BC17" s="32" t="s">
        <v>413</v>
      </c>
      <c r="BD17" s="132">
        <v>2024</v>
      </c>
      <c r="BE17" s="32" t="s">
        <v>414</v>
      </c>
      <c r="BF17" s="32" t="s">
        <v>437</v>
      </c>
      <c r="BG17" s="32" t="s">
        <v>438</v>
      </c>
      <c r="BH17" s="32" t="s">
        <v>443</v>
      </c>
      <c r="BI17" s="132">
        <v>2025</v>
      </c>
    </row>
    <row r="18" spans="2:61" ht="15.5" thickTop="1" thickBot="1" x14ac:dyDescent="0.4">
      <c r="B18" s="147" t="s">
        <v>21</v>
      </c>
      <c r="C18" s="133">
        <v>497.65499999999997</v>
      </c>
      <c r="D18" s="133">
        <v>541.29999999999995</v>
      </c>
      <c r="E18" s="133">
        <v>555.9</v>
      </c>
      <c r="F18" s="133">
        <v>650.4</v>
      </c>
      <c r="G18" s="133">
        <f>F18</f>
        <v>650.4</v>
      </c>
      <c r="H18" s="133">
        <v>684.3</v>
      </c>
      <c r="I18" s="133">
        <v>703.4</v>
      </c>
      <c r="J18" s="145">
        <v>703.39964999999995</v>
      </c>
      <c r="K18" s="145">
        <v>821.60383000000024</v>
      </c>
      <c r="L18" s="133">
        <f>K18</f>
        <v>821.60383000000024</v>
      </c>
      <c r="M18" s="145">
        <v>811.21839000000023</v>
      </c>
      <c r="N18" s="145">
        <v>792.89620000000014</v>
      </c>
      <c r="O18" s="145">
        <v>806.92736000000002</v>
      </c>
      <c r="P18" s="145">
        <v>845.32951000000003</v>
      </c>
      <c r="Q18" s="133">
        <f>P18</f>
        <v>845.32951000000003</v>
      </c>
      <c r="R18" s="145">
        <v>855.73023000000023</v>
      </c>
      <c r="S18" s="145">
        <v>891.90172999999982</v>
      </c>
      <c r="T18" s="145">
        <v>893.24745000000007</v>
      </c>
      <c r="U18" s="139">
        <v>1123.5</v>
      </c>
      <c r="V18" s="133">
        <f>U18</f>
        <v>1123.5</v>
      </c>
      <c r="W18" s="145">
        <v>1117.7044199999998</v>
      </c>
      <c r="X18" s="133">
        <v>997.41430999999989</v>
      </c>
      <c r="Y18" s="133">
        <v>1176.3117500000012</v>
      </c>
      <c r="Z18" s="133">
        <v>1202.4043100000001</v>
      </c>
      <c r="AA18" s="133">
        <f>Z18</f>
        <v>1202.4043100000001</v>
      </c>
      <c r="AB18" s="133">
        <v>1201.0873100000001</v>
      </c>
      <c r="AC18" s="133">
        <v>1212.49541</v>
      </c>
      <c r="AD18" s="133">
        <v>1211.6006</v>
      </c>
      <c r="AE18" s="133">
        <v>1274.8870134691585</v>
      </c>
      <c r="AF18" s="133">
        <f>AE18</f>
        <v>1274.8870134691585</v>
      </c>
      <c r="AG18" s="133">
        <v>1299.86588594304</v>
      </c>
      <c r="AH18" s="133">
        <v>1309.89646282994</v>
      </c>
      <c r="AI18" s="133">
        <v>1308.9672828299401</v>
      </c>
      <c r="AJ18" s="133">
        <v>1312.0329999999999</v>
      </c>
      <c r="AK18" s="133">
        <f>AJ18</f>
        <v>1312.0329999999999</v>
      </c>
      <c r="AL18" s="133">
        <v>1305.1133363537806</v>
      </c>
      <c r="AM18" s="133">
        <v>1305.1133363537806</v>
      </c>
      <c r="AN18" s="133">
        <v>1310.5157313555396</v>
      </c>
      <c r="AO18" s="133">
        <v>1143.4194150000012</v>
      </c>
      <c r="AP18" s="133">
        <f>AO18</f>
        <v>1143.4194150000012</v>
      </c>
      <c r="AQ18" s="133">
        <v>1143.4676150000007</v>
      </c>
      <c r="AR18" s="133">
        <v>1142.6358150000005</v>
      </c>
      <c r="AS18" s="133">
        <v>1138.898245000001</v>
      </c>
      <c r="AT18" s="133">
        <v>1134.2403450000004</v>
      </c>
      <c r="AU18" s="133">
        <f>AT18</f>
        <v>1134.2403450000004</v>
      </c>
      <c r="AV18" s="133">
        <v>1134.5245469999998</v>
      </c>
      <c r="AW18" s="133">
        <v>1136.9555070000006</v>
      </c>
      <c r="AX18" s="133">
        <v>1139.3</v>
      </c>
      <c r="AY18" s="133">
        <v>1144.5799169999998</v>
      </c>
      <c r="AZ18" s="133">
        <v>1144.7</v>
      </c>
      <c r="BA18" s="133">
        <v>1142.603012</v>
      </c>
      <c r="BB18" s="133">
        <v>1143.0913219999995</v>
      </c>
      <c r="BC18" s="133">
        <v>1187.7052919999996</v>
      </c>
      <c r="BD18" s="133">
        <v>1187.7052919999996</v>
      </c>
      <c r="BE18" s="133">
        <v>1188.2318320000004</v>
      </c>
      <c r="BF18" s="133">
        <v>1162.3573119999996</v>
      </c>
      <c r="BG18" s="133">
        <v>1162.9453619999997</v>
      </c>
      <c r="BH18" s="133">
        <v>1161.6468719999998</v>
      </c>
      <c r="BI18" s="133">
        <v>1161.6468719999998</v>
      </c>
    </row>
    <row r="19" spans="2:61" ht="15.5" thickTop="1" thickBot="1" x14ac:dyDescent="0.4">
      <c r="B19" s="148" t="s">
        <v>22</v>
      </c>
      <c r="C19" s="135">
        <v>69</v>
      </c>
      <c r="D19" s="135">
        <v>74</v>
      </c>
      <c r="E19" s="135">
        <v>73</v>
      </c>
      <c r="F19" s="135">
        <v>76</v>
      </c>
      <c r="G19" s="135">
        <f>F19</f>
        <v>76</v>
      </c>
      <c r="H19" s="135">
        <v>79</v>
      </c>
      <c r="I19" s="135">
        <v>80</v>
      </c>
      <c r="J19" s="135">
        <v>80</v>
      </c>
      <c r="K19" s="135">
        <v>86</v>
      </c>
      <c r="L19" s="135">
        <f>K19</f>
        <v>86</v>
      </c>
      <c r="M19" s="136">
        <v>86</v>
      </c>
      <c r="N19" s="136">
        <v>88</v>
      </c>
      <c r="O19" s="136">
        <v>88</v>
      </c>
      <c r="P19" s="136">
        <v>89</v>
      </c>
      <c r="Q19" s="135">
        <f>P19</f>
        <v>89</v>
      </c>
      <c r="R19" s="136">
        <v>89</v>
      </c>
      <c r="S19" s="136">
        <v>90</v>
      </c>
      <c r="T19" s="136">
        <v>90</v>
      </c>
      <c r="U19" s="137">
        <v>94</v>
      </c>
      <c r="V19" s="135">
        <f>U19</f>
        <v>94</v>
      </c>
      <c r="W19" s="136">
        <v>95</v>
      </c>
      <c r="X19" s="140">
        <v>93</v>
      </c>
      <c r="Y19" s="140">
        <v>96</v>
      </c>
      <c r="Z19" s="140">
        <v>97</v>
      </c>
      <c r="AA19" s="135">
        <f>Z19</f>
        <v>97</v>
      </c>
      <c r="AB19" s="140">
        <v>96</v>
      </c>
      <c r="AC19" s="140">
        <v>96</v>
      </c>
      <c r="AD19" s="140">
        <v>96</v>
      </c>
      <c r="AE19" s="140">
        <v>99</v>
      </c>
      <c r="AF19" s="135">
        <f>AE19</f>
        <v>99</v>
      </c>
      <c r="AG19" s="140">
        <v>99</v>
      </c>
      <c r="AH19" s="140">
        <v>100</v>
      </c>
      <c r="AI19" s="140">
        <v>100</v>
      </c>
      <c r="AJ19" s="140">
        <v>100</v>
      </c>
      <c r="AK19" s="135">
        <f>AJ19</f>
        <v>100</v>
      </c>
      <c r="AL19" s="140">
        <v>99</v>
      </c>
      <c r="AM19" s="140">
        <v>99</v>
      </c>
      <c r="AN19" s="140">
        <v>99</v>
      </c>
      <c r="AO19" s="140">
        <v>93</v>
      </c>
      <c r="AP19" s="135">
        <f>AO19</f>
        <v>93</v>
      </c>
      <c r="AQ19" s="140">
        <v>93</v>
      </c>
      <c r="AR19" s="140">
        <v>93</v>
      </c>
      <c r="AS19" s="140">
        <v>90</v>
      </c>
      <c r="AT19" s="140">
        <v>80</v>
      </c>
      <c r="AU19" s="135">
        <f>AT19</f>
        <v>80</v>
      </c>
      <c r="AV19" s="140">
        <v>80</v>
      </c>
      <c r="AW19" s="140">
        <v>80</v>
      </c>
      <c r="AX19" s="140">
        <v>80</v>
      </c>
      <c r="AY19" s="140">
        <v>80</v>
      </c>
      <c r="AZ19" s="140">
        <v>79</v>
      </c>
      <c r="BA19" s="140">
        <v>79</v>
      </c>
      <c r="BB19" s="140">
        <v>79</v>
      </c>
      <c r="BC19" s="140">
        <v>80</v>
      </c>
      <c r="BD19" s="140">
        <v>80</v>
      </c>
      <c r="BE19" s="140">
        <v>80</v>
      </c>
      <c r="BF19" s="140">
        <v>80</v>
      </c>
      <c r="BG19" s="140">
        <v>80</v>
      </c>
      <c r="BH19" s="140">
        <v>79</v>
      </c>
      <c r="BI19" s="140">
        <v>79</v>
      </c>
    </row>
    <row r="20" spans="2:61" ht="15.5" thickTop="1" thickBot="1" x14ac:dyDescent="0.4">
      <c r="B20" s="148" t="s">
        <v>23</v>
      </c>
      <c r="C20" s="135"/>
      <c r="D20" s="133">
        <v>4.9000000000000004</v>
      </c>
      <c r="E20" s="133">
        <v>4.8</v>
      </c>
      <c r="F20" s="133">
        <v>4.5999999999999996</v>
      </c>
      <c r="G20" s="133">
        <f>F20</f>
        <v>4.5999999999999996</v>
      </c>
      <c r="H20" s="133">
        <v>4.3</v>
      </c>
      <c r="I20" s="133">
        <v>3.9</v>
      </c>
      <c r="J20" s="133">
        <v>3.6060317910113544</v>
      </c>
      <c r="K20" s="133">
        <v>3.4102517315849106</v>
      </c>
      <c r="L20" s="133">
        <f>K20</f>
        <v>3.4102517315849106</v>
      </c>
      <c r="M20" s="133">
        <v>3.4099827742973896</v>
      </c>
      <c r="N20" s="133">
        <v>4.0265843586995924</v>
      </c>
      <c r="O20" s="133">
        <v>3.8015977365685325</v>
      </c>
      <c r="P20" s="133">
        <v>3.537579934437336</v>
      </c>
      <c r="Q20" s="133">
        <f>P20</f>
        <v>3.537579934437336</v>
      </c>
      <c r="R20" s="133">
        <v>3.6855160237108509</v>
      </c>
      <c r="S20" s="133">
        <v>3.5479733216861522</v>
      </c>
      <c r="T20" s="133">
        <v>3.8781762566718241</v>
      </c>
      <c r="U20" s="139">
        <v>3.1</v>
      </c>
      <c r="V20" s="133">
        <f>U20</f>
        <v>3.1</v>
      </c>
      <c r="W20" s="133">
        <v>2.8697888838907812</v>
      </c>
      <c r="X20" s="133">
        <v>2.9341396981506738</v>
      </c>
      <c r="Y20" s="133">
        <v>2.9789917829751569</v>
      </c>
      <c r="Z20" s="133">
        <v>3.4360268885138292</v>
      </c>
      <c r="AA20" s="133">
        <f>Z20</f>
        <v>3.4360268885138292</v>
      </c>
      <c r="AB20" s="133">
        <v>3.6736700809010143</v>
      </c>
      <c r="AC20" s="133">
        <v>3.4369341089606906</v>
      </c>
      <c r="AD20" s="133">
        <v>3.5310715202398244</v>
      </c>
      <c r="AE20" s="133">
        <v>4.3330024833546936</v>
      </c>
      <c r="AF20" s="133">
        <f>AE20</f>
        <v>4.3330024833546936</v>
      </c>
      <c r="AG20" s="133">
        <v>4.3820569888237211</v>
      </c>
      <c r="AH20" s="133">
        <v>4.1263379120754102</v>
      </c>
      <c r="AI20" s="133">
        <v>3.9</v>
      </c>
      <c r="AJ20" s="133">
        <v>4</v>
      </c>
      <c r="AK20" s="133">
        <f>AJ20</f>
        <v>4</v>
      </c>
      <c r="AL20" s="133">
        <v>4.0999999999999996</v>
      </c>
      <c r="AM20" s="133">
        <v>4.0999999999999996</v>
      </c>
      <c r="AN20" s="133">
        <v>3.7921418456975937</v>
      </c>
      <c r="AO20" s="133">
        <v>4.4360781582232773</v>
      </c>
      <c r="AP20" s="133">
        <f>AO20</f>
        <v>4.4360781582232773</v>
      </c>
      <c r="AQ20" s="133">
        <v>4.2</v>
      </c>
      <c r="AR20" s="133">
        <v>4.9537093368620795</v>
      </c>
      <c r="AS20" s="133">
        <v>4.8292461869095717</v>
      </c>
      <c r="AT20" s="133">
        <v>4.6429961612233459</v>
      </c>
      <c r="AU20" s="133">
        <f>AT20</f>
        <v>4.6429961612233459</v>
      </c>
      <c r="AV20" s="133">
        <v>4.7092366501217651</v>
      </c>
      <c r="AW20" s="133">
        <v>4.5</v>
      </c>
      <c r="AX20" s="133">
        <v>4.3</v>
      </c>
      <c r="AY20" s="133">
        <v>4.3887736832233166</v>
      </c>
      <c r="AZ20" s="133">
        <v>4.3</v>
      </c>
      <c r="BA20" s="133">
        <v>4.2223815073344309</v>
      </c>
      <c r="BB20" s="133">
        <v>4.0180765596148849</v>
      </c>
      <c r="BC20" s="133">
        <v>4.0197783495139863</v>
      </c>
      <c r="BD20" s="133">
        <v>4.0197783495139863</v>
      </c>
      <c r="BE20" s="133">
        <v>3.7499066393256468</v>
      </c>
      <c r="BF20" s="133">
        <v>3.8434651388448473</v>
      </c>
      <c r="BG20" s="133">
        <v>3.5860484514525734</v>
      </c>
      <c r="BH20" s="133">
        <v>3.5546337341537964</v>
      </c>
      <c r="BI20" s="133">
        <v>3.5546337341537964</v>
      </c>
    </row>
    <row r="21" spans="2:61" s="91" customFormat="1" ht="15.5" thickTop="1" thickBot="1" x14ac:dyDescent="0.4">
      <c r="B21" s="149" t="s">
        <v>241</v>
      </c>
      <c r="C21" s="140">
        <v>247.262</v>
      </c>
      <c r="D21" s="140">
        <v>287.22300000000001</v>
      </c>
      <c r="E21" s="140">
        <f>311.083-29.476</f>
        <v>281.60700000000003</v>
      </c>
      <c r="F21" s="140">
        <f>256.345-36.391</f>
        <v>219.95400000000004</v>
      </c>
      <c r="G21" s="140">
        <f>SUM(C21:F21)</f>
        <v>1036.046</v>
      </c>
      <c r="H21" s="140">
        <f>312.679-33.329</f>
        <v>279.34999999999997</v>
      </c>
      <c r="I21" s="140">
        <f>324.406-34.474</f>
        <v>289.93200000000002</v>
      </c>
      <c r="J21" s="140">
        <f>483.2-37.408</f>
        <v>445.79199999999997</v>
      </c>
      <c r="K21" s="140">
        <f>553.7-43.362</f>
        <v>510.33800000000002</v>
      </c>
      <c r="L21" s="140">
        <f>SUM(H21:K21)</f>
        <v>1525.4119999999998</v>
      </c>
      <c r="M21" s="140">
        <f>557.9-37.684</f>
        <v>520.21600000000001</v>
      </c>
      <c r="N21" s="140">
        <f>491.93-38.332</f>
        <v>453.59800000000001</v>
      </c>
      <c r="O21" s="140">
        <f>494.337-39.971</f>
        <v>454.36599999999999</v>
      </c>
      <c r="P21" s="140">
        <f>506.668-41.834</f>
        <v>464.834</v>
      </c>
      <c r="Q21" s="140">
        <f>SUM(M21:P21)</f>
        <v>1893.0140000000001</v>
      </c>
      <c r="R21" s="140">
        <f>555.249-63.55</f>
        <v>491.69900000000001</v>
      </c>
      <c r="S21" s="140">
        <f>596.806-61.606</f>
        <v>535.20000000000005</v>
      </c>
      <c r="T21" s="140">
        <f>562.986-61.268</f>
        <v>501.71799999999996</v>
      </c>
      <c r="U21" s="141">
        <f>556.02-68.522</f>
        <v>487.49799999999999</v>
      </c>
      <c r="V21" s="140">
        <f>SUM(R21:U21)</f>
        <v>2016.1150000000002</v>
      </c>
      <c r="W21" s="140">
        <f>712.5-55.667</f>
        <v>656.83299999999997</v>
      </c>
      <c r="X21" s="140">
        <v>702.61500000000001</v>
      </c>
      <c r="Y21" s="140">
        <v>737.024</v>
      </c>
      <c r="Z21" s="140">
        <v>738.57500000000005</v>
      </c>
      <c r="AA21" s="140">
        <f>SUM(W21:Z21)</f>
        <v>2835.0469999999996</v>
      </c>
      <c r="AB21" s="140">
        <v>752.06</v>
      </c>
      <c r="AC21" s="140">
        <v>766.50699999999995</v>
      </c>
      <c r="AD21" s="140">
        <v>799.31399999999996</v>
      </c>
      <c r="AE21" s="140">
        <v>811.93799999999999</v>
      </c>
      <c r="AF21" s="140">
        <f>SUM(AB21:AE21)</f>
        <v>3129.819</v>
      </c>
      <c r="AG21" s="140">
        <v>802</v>
      </c>
      <c r="AH21" s="140">
        <v>900.9470673200002</v>
      </c>
      <c r="AI21" s="140">
        <f>896551.2122/1000</f>
        <v>896.5512121999999</v>
      </c>
      <c r="AJ21" s="140">
        <f>883741.72804/1000</f>
        <v>883.74172804</v>
      </c>
      <c r="AK21" s="140">
        <f>SUM(AG21:AJ21)</f>
        <v>3483.2400075600003</v>
      </c>
      <c r="AL21" s="140">
        <v>809.64929202999986</v>
      </c>
      <c r="AM21" s="140">
        <v>770.42152630999999</v>
      </c>
      <c r="AN21" s="140">
        <v>723.03733132999992</v>
      </c>
      <c r="AO21" s="140">
        <v>718.63499999999999</v>
      </c>
      <c r="AP21" s="140">
        <f>SUM(AL21:AO21)</f>
        <v>3021.7431496700001</v>
      </c>
      <c r="AQ21" s="140">
        <f>826.422</f>
        <v>826.42200000000003</v>
      </c>
      <c r="AR21" s="140">
        <f>725171/1000</f>
        <v>725.17100000000005</v>
      </c>
      <c r="AS21" s="140">
        <f>759317/1000</f>
        <v>759.31700000000001</v>
      </c>
      <c r="AT21" s="140">
        <v>753.37099999999998</v>
      </c>
      <c r="AU21" s="140">
        <f>SUM(AQ21:AT21)</f>
        <v>3064.2809999999999</v>
      </c>
      <c r="AV21" s="140">
        <v>776.13430598999992</v>
      </c>
      <c r="AW21" s="140">
        <v>787.40480322999986</v>
      </c>
      <c r="AX21" s="140">
        <v>794.029</v>
      </c>
      <c r="AY21" s="140">
        <v>839.06</v>
      </c>
      <c r="AZ21" s="154">
        <f>849990/1000</f>
        <v>849.99</v>
      </c>
      <c r="BA21" s="154">
        <v>895.31299999999999</v>
      </c>
      <c r="BB21" s="140">
        <v>888.33600000000001</v>
      </c>
      <c r="BC21" s="140">
        <v>832.91499999999996</v>
      </c>
      <c r="BD21" s="140">
        <v>832.91499999999996</v>
      </c>
      <c r="BE21" s="154">
        <v>897.77700000000004</v>
      </c>
      <c r="BF21" s="154">
        <v>933.39200000000005</v>
      </c>
      <c r="BG21" s="154">
        <v>892.29899999999998</v>
      </c>
      <c r="BH21" s="154">
        <v>924.52200000000005</v>
      </c>
      <c r="BI21" s="154">
        <v>924.52200000000005</v>
      </c>
    </row>
    <row r="22" spans="2:61" ht="15.5" thickTop="1" thickBot="1" x14ac:dyDescent="0.4">
      <c r="B22" s="148" t="s">
        <v>240</v>
      </c>
      <c r="C22" s="142">
        <v>189.06173760109957</v>
      </c>
      <c r="D22" s="142">
        <v>201.17418602841175</v>
      </c>
      <c r="E22" s="142">
        <v>193.55743593030095</v>
      </c>
      <c r="F22" s="142">
        <v>123.46938912981683</v>
      </c>
      <c r="G22" s="142">
        <v>145.39399912071408</v>
      </c>
      <c r="H22" s="142">
        <v>147.77996874079383</v>
      </c>
      <c r="I22" s="142">
        <v>150.98407421409979</v>
      </c>
      <c r="J22" s="142">
        <v>230.2318275360216</v>
      </c>
      <c r="K22" s="142">
        <v>222.79098742357542</v>
      </c>
      <c r="L22" s="142">
        <v>166.48184424233105</v>
      </c>
      <c r="M22" s="142">
        <v>236.74791835600931</v>
      </c>
      <c r="N22" s="142">
        <v>211.4799684274308</v>
      </c>
      <c r="O22" s="142">
        <v>207.16992718809126</v>
      </c>
      <c r="P22" s="142">
        <v>207.81742675248714</v>
      </c>
      <c r="Q22" s="142">
        <v>211.58160670606753</v>
      </c>
      <c r="R22" s="142">
        <v>219.7321017370906</v>
      </c>
      <c r="S22" s="142">
        <v>226.47136727200575</v>
      </c>
      <c r="T22" s="142">
        <v>213.31471707305184</v>
      </c>
      <c r="U22" s="142">
        <v>168.18221021655054</v>
      </c>
      <c r="V22" s="142">
        <v>173.88516299079222</v>
      </c>
      <c r="W22" s="142">
        <v>225.70096015986124</v>
      </c>
      <c r="X22" s="142">
        <v>258.78439916528674</v>
      </c>
      <c r="Y22" s="142">
        <v>234.34068552744259</v>
      </c>
      <c r="Z22" s="142">
        <v>229.33253888210913</v>
      </c>
      <c r="AA22" s="142">
        <v>220.07532287178239</v>
      </c>
      <c r="AB22" s="142">
        <v>234.52460647515326</v>
      </c>
      <c r="AC22" s="142">
        <v>236.89160795289459</v>
      </c>
      <c r="AD22" s="142">
        <v>262.41742319916978</v>
      </c>
      <c r="AE22" s="142">
        <v>253.93562804347485</v>
      </c>
      <c r="AF22" s="142">
        <v>244.71466830823297</v>
      </c>
      <c r="AG22" s="142">
        <v>247.73229509801976</v>
      </c>
      <c r="AH22" s="142">
        <v>280.33187749152393</v>
      </c>
      <c r="AI22" s="142">
        <v>283.26310665222411</v>
      </c>
      <c r="AJ22" s="142">
        <v>285.65169310079369</v>
      </c>
      <c r="AK22" s="142">
        <v>281.47177338866703</v>
      </c>
      <c r="AL22" s="142">
        <v>270.66624604392479</v>
      </c>
      <c r="AM22" s="142">
        <v>264.47583141785941</v>
      </c>
      <c r="AN22" s="142">
        <v>248.50457071652806</v>
      </c>
      <c r="AO22" s="142">
        <v>277.71802100812835</v>
      </c>
      <c r="AP22" s="142">
        <v>291.93976341300555</v>
      </c>
      <c r="AQ22" s="142">
        <v>322.07361523142163</v>
      </c>
      <c r="AR22" s="142">
        <v>282.5510419384056</v>
      </c>
      <c r="AS22" s="142">
        <v>296.31639499297142</v>
      </c>
      <c r="AT22" s="142">
        <v>288.20381536211511</v>
      </c>
      <c r="AU22" s="142">
        <v>293.06194276844923</v>
      </c>
      <c r="AV22" s="142">
        <v>293.39461800039317</v>
      </c>
      <c r="AW22" s="142">
        <v>295.9638940014558</v>
      </c>
      <c r="AX22" s="142">
        <v>291.48666462339776</v>
      </c>
      <c r="AY22" s="142">
        <v>298.922568611001</v>
      </c>
      <c r="AZ22" s="142">
        <v>303.32675570446577</v>
      </c>
      <c r="BA22" s="142">
        <v>315.31678878578617</v>
      </c>
      <c r="BB22" s="142">
        <v>310.06085333770449</v>
      </c>
      <c r="BC22" s="142">
        <v>279.16343884482905</v>
      </c>
      <c r="BD22" s="142">
        <v>279.16343884482905</v>
      </c>
      <c r="BE22" s="142">
        <v>413.46777856383267</v>
      </c>
      <c r="BF22" s="142">
        <v>400.79887443965521</v>
      </c>
      <c r="BG22" s="142">
        <v>401.37030974073639</v>
      </c>
      <c r="BH22" s="142">
        <v>408.13641929419231</v>
      </c>
      <c r="BI22" s="142">
        <v>408.13641929419231</v>
      </c>
    </row>
    <row r="23" spans="2:61" ht="15.5" thickTop="1" thickBot="1" x14ac:dyDescent="0.4">
      <c r="B23" s="150" t="s">
        <v>27</v>
      </c>
      <c r="C23" s="143">
        <v>0.876</v>
      </c>
      <c r="D23" s="143">
        <v>0.87919999999999998</v>
      </c>
      <c r="E23" s="143">
        <v>0.87239999999999995</v>
      </c>
      <c r="F23" s="143">
        <v>0.91300000000000003</v>
      </c>
      <c r="G23" s="143">
        <f>F23</f>
        <v>0.91300000000000003</v>
      </c>
      <c r="H23" s="143">
        <v>0.92079999999999995</v>
      </c>
      <c r="I23" s="143">
        <v>0.91</v>
      </c>
      <c r="J23" s="143">
        <v>0.91757908763194851</v>
      </c>
      <c r="K23" s="143">
        <v>0.92934417065704256</v>
      </c>
      <c r="L23" s="143">
        <f>K23</f>
        <v>0.92934417065704256</v>
      </c>
      <c r="M23" s="143">
        <v>0.9028975908694572</v>
      </c>
      <c r="N23" s="143">
        <v>0.90170463674816403</v>
      </c>
      <c r="O23" s="143">
        <v>0.90599002616542845</v>
      </c>
      <c r="P23" s="143">
        <v>0.88200010904623471</v>
      </c>
      <c r="Q23" s="143">
        <f>P23</f>
        <v>0.88200010904623471</v>
      </c>
      <c r="R23" s="143">
        <v>0.87166114255423677</v>
      </c>
      <c r="S23" s="143">
        <v>0.88321114703970827</v>
      </c>
      <c r="T23" s="143">
        <v>0.8776994437543596</v>
      </c>
      <c r="U23" s="143">
        <v>0.86</v>
      </c>
      <c r="V23" s="143">
        <f>U23</f>
        <v>0.86</v>
      </c>
      <c r="W23" s="143">
        <v>0.86790728625730995</v>
      </c>
      <c r="X23" s="143">
        <v>0.90736594705564244</v>
      </c>
      <c r="Y23" s="143">
        <v>0.89123091784899888</v>
      </c>
      <c r="Z23" s="143">
        <v>0.89280609220419505</v>
      </c>
      <c r="AA23" s="143">
        <f>Z23</f>
        <v>0.89280609220419505</v>
      </c>
      <c r="AB23" s="143">
        <v>0.88995539728704554</v>
      </c>
      <c r="AC23" s="143">
        <v>0.88953920071450143</v>
      </c>
      <c r="AD23" s="143">
        <v>0.83799999999999997</v>
      </c>
      <c r="AE23" s="143">
        <v>0.83599999999999997</v>
      </c>
      <c r="AF23" s="143">
        <f>AE23</f>
        <v>0.83599999999999997</v>
      </c>
      <c r="AG23" s="143">
        <v>0.83017937824711874</v>
      </c>
      <c r="AH23" s="143">
        <v>0.81784041122212903</v>
      </c>
      <c r="AI23" s="143">
        <v>0.80600000000000005</v>
      </c>
      <c r="AJ23" s="143">
        <v>0.78600000000000003</v>
      </c>
      <c r="AK23" s="143">
        <f>AJ23</f>
        <v>0.78600000000000003</v>
      </c>
      <c r="AL23" s="143">
        <v>0.76400000000000001</v>
      </c>
      <c r="AM23" s="143">
        <v>0.74399999999999999</v>
      </c>
      <c r="AN23" s="143">
        <v>0.74005303953647694</v>
      </c>
      <c r="AO23" s="143">
        <v>0.75435797545907513</v>
      </c>
      <c r="AP23" s="143">
        <f>AO23</f>
        <v>0.75435797545907513</v>
      </c>
      <c r="AQ23" s="143">
        <v>0.748</v>
      </c>
      <c r="AR23" s="143">
        <v>0.74871136872250055</v>
      </c>
      <c r="AS23" s="143">
        <v>0.75</v>
      </c>
      <c r="AT23" s="143">
        <v>0.76821507790749577</v>
      </c>
      <c r="AU23" s="143">
        <f>AT23</f>
        <v>0.76821507790749577</v>
      </c>
      <c r="AV23" s="143">
        <v>0.77723005406246171</v>
      </c>
      <c r="AW23" s="143">
        <v>0.78</v>
      </c>
      <c r="AX23" s="143">
        <v>0.79700000000000004</v>
      </c>
      <c r="AY23" s="143">
        <v>0.81746080033658308</v>
      </c>
      <c r="AZ23" s="143">
        <v>0.81599999999999995</v>
      </c>
      <c r="BA23" s="143">
        <v>0.82834484948828391</v>
      </c>
      <c r="BB23" s="143">
        <v>0.83546477137895725</v>
      </c>
      <c r="BC23" s="143">
        <v>0.83735997390389028</v>
      </c>
      <c r="BD23" s="143">
        <v>0.83735997390389028</v>
      </c>
      <c r="BE23" s="143">
        <v>0.82383090490957389</v>
      </c>
      <c r="BF23" s="143">
        <v>0.82233171403420202</v>
      </c>
      <c r="BG23" s="143">
        <v>0.83027470400922099</v>
      </c>
      <c r="BH23" s="143">
        <v>0.8290107717257823</v>
      </c>
      <c r="BI23" s="143">
        <v>0.8290107717257823</v>
      </c>
    </row>
    <row r="24" spans="2:61" ht="15.5" thickTop="1" thickBot="1" x14ac:dyDescent="0.4">
      <c r="B24" s="146" t="s">
        <v>28</v>
      </c>
      <c r="C24" s="131" t="s">
        <v>254</v>
      </c>
      <c r="D24" s="32" t="s">
        <v>255</v>
      </c>
      <c r="E24" s="32" t="s">
        <v>256</v>
      </c>
      <c r="F24" s="32" t="s">
        <v>257</v>
      </c>
      <c r="G24" s="34">
        <v>2014</v>
      </c>
      <c r="H24" s="32" t="s">
        <v>258</v>
      </c>
      <c r="I24" s="32" t="s">
        <v>259</v>
      </c>
      <c r="J24" s="32" t="s">
        <v>260</v>
      </c>
      <c r="K24" s="32" t="s">
        <v>261</v>
      </c>
      <c r="L24" s="34">
        <v>2015</v>
      </c>
      <c r="M24" s="32" t="s">
        <v>262</v>
      </c>
      <c r="N24" s="32" t="s">
        <v>263</v>
      </c>
      <c r="O24" s="32" t="s">
        <v>264</v>
      </c>
      <c r="P24" s="32" t="s">
        <v>265</v>
      </c>
      <c r="Q24" s="34">
        <v>2016</v>
      </c>
      <c r="R24" s="32" t="s">
        <v>266</v>
      </c>
      <c r="S24" s="32" t="s">
        <v>267</v>
      </c>
      <c r="T24" s="32" t="s">
        <v>268</v>
      </c>
      <c r="U24" s="32" t="s">
        <v>269</v>
      </c>
      <c r="V24" s="34">
        <v>2017</v>
      </c>
      <c r="W24" s="32" t="s">
        <v>270</v>
      </c>
      <c r="X24" s="32" t="s">
        <v>271</v>
      </c>
      <c r="Y24" s="32" t="s">
        <v>272</v>
      </c>
      <c r="Z24" s="32" t="s">
        <v>273</v>
      </c>
      <c r="AA24" s="34">
        <v>2018</v>
      </c>
      <c r="AB24" s="32" t="s">
        <v>274</v>
      </c>
      <c r="AC24" s="32" t="s">
        <v>275</v>
      </c>
      <c r="AD24" s="32" t="s">
        <v>276</v>
      </c>
      <c r="AE24" s="32" t="s">
        <v>277</v>
      </c>
      <c r="AF24" s="132">
        <v>2019</v>
      </c>
      <c r="AG24" s="32" t="s">
        <v>279</v>
      </c>
      <c r="AH24" s="32" t="s">
        <v>280</v>
      </c>
      <c r="AI24" s="32" t="s">
        <v>281</v>
      </c>
      <c r="AJ24" s="32" t="s">
        <v>282</v>
      </c>
      <c r="AK24" s="132">
        <v>2020</v>
      </c>
      <c r="AL24" s="32" t="s">
        <v>301</v>
      </c>
      <c r="AM24" s="32" t="s">
        <v>304</v>
      </c>
      <c r="AN24" s="32" t="s">
        <v>309</v>
      </c>
      <c r="AO24" s="32" t="s">
        <v>312</v>
      </c>
      <c r="AP24" s="132">
        <v>2021</v>
      </c>
      <c r="AQ24" s="32" t="s">
        <v>317</v>
      </c>
      <c r="AR24" s="32" t="s">
        <v>328</v>
      </c>
      <c r="AS24" s="32" t="s">
        <v>348</v>
      </c>
      <c r="AT24" s="32" t="s">
        <v>349</v>
      </c>
      <c r="AU24" s="132">
        <v>2022</v>
      </c>
      <c r="AV24" s="32" t="s">
        <v>359</v>
      </c>
      <c r="AW24" s="32" t="s">
        <v>380</v>
      </c>
      <c r="AX24" s="32" t="s">
        <v>389</v>
      </c>
      <c r="AY24" s="132">
        <v>2023</v>
      </c>
      <c r="AZ24" s="32" t="s">
        <v>403</v>
      </c>
      <c r="BA24" s="32" t="s">
        <v>405</v>
      </c>
      <c r="BB24" s="32" t="s">
        <v>406</v>
      </c>
      <c r="BC24" s="32" t="s">
        <v>413</v>
      </c>
      <c r="BD24" s="132">
        <v>2024</v>
      </c>
      <c r="BE24" s="32" t="s">
        <v>414</v>
      </c>
      <c r="BF24" s="32" t="s">
        <v>437</v>
      </c>
      <c r="BG24" s="32" t="s">
        <v>438</v>
      </c>
      <c r="BH24" s="32" t="s">
        <v>443</v>
      </c>
      <c r="BI24" s="132">
        <v>2025</v>
      </c>
    </row>
    <row r="25" spans="2:61" ht="15.5" thickTop="1" thickBot="1" x14ac:dyDescent="0.4">
      <c r="B25" s="147" t="s">
        <v>21</v>
      </c>
      <c r="C25" s="92"/>
      <c r="D25" s="92"/>
      <c r="E25" s="92"/>
      <c r="F25" s="92"/>
      <c r="G25" s="92"/>
      <c r="H25" s="92"/>
      <c r="I25" s="92"/>
      <c r="J25" s="93"/>
      <c r="K25" s="93"/>
      <c r="L25" s="92"/>
      <c r="M25" s="93"/>
      <c r="N25" s="93"/>
      <c r="O25" s="93"/>
      <c r="P25" s="93"/>
      <c r="Q25" s="92"/>
      <c r="R25" s="93"/>
      <c r="S25" s="93"/>
      <c r="T25" s="93"/>
      <c r="U25" s="94"/>
      <c r="V25" s="92"/>
      <c r="W25" s="93"/>
      <c r="X25" s="95"/>
      <c r="Y25" s="95"/>
      <c r="Z25" s="95"/>
      <c r="AA25" s="92"/>
      <c r="AB25" s="95"/>
      <c r="AC25" s="95"/>
      <c r="AD25" s="95"/>
      <c r="AE25" s="3">
        <v>680.42148999999995</v>
      </c>
      <c r="AF25" s="3">
        <f>AE25</f>
        <v>680.42148999999995</v>
      </c>
      <c r="AG25" s="153">
        <v>692.87414999999987</v>
      </c>
      <c r="AH25" s="153">
        <v>692.87450000000001</v>
      </c>
      <c r="AI25" s="153">
        <v>692.87450000000001</v>
      </c>
      <c r="AJ25" s="153">
        <v>767.24</v>
      </c>
      <c r="AK25" s="3">
        <f>AJ25</f>
        <v>767.24</v>
      </c>
      <c r="AL25" s="153">
        <v>846.62450000000013</v>
      </c>
      <c r="AM25" s="153">
        <v>846.62450000000013</v>
      </c>
      <c r="AN25" s="153">
        <v>846.62450000000013</v>
      </c>
      <c r="AO25" s="153">
        <v>845.92354000000012</v>
      </c>
      <c r="AP25" s="3">
        <f>AO25</f>
        <v>845.92354000000012</v>
      </c>
      <c r="AQ25" s="153">
        <v>845.92384000000004</v>
      </c>
      <c r="AR25" s="153">
        <v>845.92384000000004</v>
      </c>
      <c r="AS25" s="153">
        <v>832.26959000000011</v>
      </c>
      <c r="AT25" s="153">
        <v>854.36153000000013</v>
      </c>
      <c r="AU25" s="3">
        <f t="shared" ref="AU25:AU30" si="0">AT25</f>
        <v>854.36153000000013</v>
      </c>
      <c r="AV25" s="153">
        <v>854.36153000000013</v>
      </c>
      <c r="AW25" s="153">
        <v>854.36153000000013</v>
      </c>
      <c r="AX25" s="153">
        <v>854.36153000000013</v>
      </c>
      <c r="AY25" s="153">
        <v>854.36153000000013</v>
      </c>
      <c r="AZ25" s="153">
        <v>854.1</v>
      </c>
      <c r="BA25" s="153">
        <v>854.08005000000003</v>
      </c>
      <c r="BB25" s="153">
        <v>854.08005000000003</v>
      </c>
      <c r="BC25" s="153">
        <v>854.08005000000014</v>
      </c>
      <c r="BD25" s="153">
        <v>854.08005000000014</v>
      </c>
      <c r="BE25" s="153">
        <v>853.69292000000007</v>
      </c>
      <c r="BF25" s="153">
        <v>879.65891000000011</v>
      </c>
      <c r="BG25" s="153">
        <v>879.65891000000011</v>
      </c>
      <c r="BH25" s="153">
        <v>869.67998000000011</v>
      </c>
      <c r="BI25" s="153">
        <v>869.67998000000011</v>
      </c>
    </row>
    <row r="26" spans="2:61" ht="15.5" thickTop="1" thickBot="1" x14ac:dyDescent="0.4">
      <c r="B26" s="148" t="s">
        <v>22</v>
      </c>
      <c r="C26" s="92"/>
      <c r="D26" s="92"/>
      <c r="E26" s="92"/>
      <c r="F26" s="92"/>
      <c r="G26" s="92"/>
      <c r="H26" s="92"/>
      <c r="I26" s="92"/>
      <c r="J26" s="92"/>
      <c r="K26" s="92"/>
      <c r="L26" s="92"/>
      <c r="M26" s="96"/>
      <c r="N26" s="96"/>
      <c r="O26" s="96"/>
      <c r="P26" s="96"/>
      <c r="Q26" s="92"/>
      <c r="R26" s="96"/>
      <c r="S26" s="96"/>
      <c r="T26" s="96"/>
      <c r="U26" s="97"/>
      <c r="V26" s="92"/>
      <c r="W26" s="96"/>
      <c r="X26" s="98"/>
      <c r="Y26" s="98"/>
      <c r="Z26" s="98"/>
      <c r="AA26" s="92"/>
      <c r="AB26" s="98"/>
      <c r="AC26" s="98"/>
      <c r="AD26" s="98"/>
      <c r="AE26" s="6">
        <v>205</v>
      </c>
      <c r="AF26" s="2">
        <f>AE26</f>
        <v>205</v>
      </c>
      <c r="AG26" s="154">
        <v>206</v>
      </c>
      <c r="AH26" s="154">
        <v>206</v>
      </c>
      <c r="AI26" s="154">
        <v>206</v>
      </c>
      <c r="AJ26" s="154">
        <v>206</v>
      </c>
      <c r="AK26" s="2">
        <f>AJ26</f>
        <v>206</v>
      </c>
      <c r="AL26" s="154">
        <v>222</v>
      </c>
      <c r="AM26" s="154">
        <v>222</v>
      </c>
      <c r="AN26" s="154">
        <v>222</v>
      </c>
      <c r="AO26" s="154">
        <v>222</v>
      </c>
      <c r="AP26" s="2">
        <f>AO26</f>
        <v>222</v>
      </c>
      <c r="AQ26" s="154">
        <v>222</v>
      </c>
      <c r="AR26" s="154">
        <v>222</v>
      </c>
      <c r="AS26" s="154">
        <v>206</v>
      </c>
      <c r="AT26" s="154">
        <v>206</v>
      </c>
      <c r="AU26" s="2">
        <f t="shared" si="0"/>
        <v>206</v>
      </c>
      <c r="AV26" s="154">
        <v>206</v>
      </c>
      <c r="AW26" s="154">
        <v>206</v>
      </c>
      <c r="AX26" s="154">
        <v>206</v>
      </c>
      <c r="AY26" s="154">
        <v>206</v>
      </c>
      <c r="AZ26" s="154">
        <v>206</v>
      </c>
      <c r="BA26" s="154">
        <v>206</v>
      </c>
      <c r="BB26" s="154">
        <v>206</v>
      </c>
      <c r="BC26" s="154">
        <v>206</v>
      </c>
      <c r="BD26" s="154">
        <v>206</v>
      </c>
      <c r="BE26" s="154">
        <v>206</v>
      </c>
      <c r="BF26" s="154">
        <v>206</v>
      </c>
      <c r="BG26" s="154">
        <v>207</v>
      </c>
      <c r="BH26" s="154">
        <v>207</v>
      </c>
      <c r="BI26" s="154">
        <v>207</v>
      </c>
    </row>
    <row r="27" spans="2:61" ht="15.5" thickTop="1" thickBot="1" x14ac:dyDescent="0.4">
      <c r="B27" s="148" t="s">
        <v>23</v>
      </c>
      <c r="C27" s="92"/>
      <c r="D27" s="92"/>
      <c r="E27" s="92"/>
      <c r="F27" s="92"/>
      <c r="G27" s="92"/>
      <c r="H27" s="92"/>
      <c r="I27" s="92"/>
      <c r="J27" s="99"/>
      <c r="K27" s="99"/>
      <c r="L27" s="92"/>
      <c r="M27" s="99"/>
      <c r="N27" s="99"/>
      <c r="O27" s="99"/>
      <c r="P27" s="99"/>
      <c r="Q27" s="92"/>
      <c r="R27" s="99"/>
      <c r="S27" s="99"/>
      <c r="T27" s="99"/>
      <c r="U27" s="97"/>
      <c r="V27" s="92"/>
      <c r="W27" s="99"/>
      <c r="X27" s="99"/>
      <c r="Y27" s="99"/>
      <c r="Z27" s="99"/>
      <c r="AA27" s="92"/>
      <c r="AB27" s="99"/>
      <c r="AC27" s="99"/>
      <c r="AD27" s="99"/>
      <c r="AE27" s="4">
        <v>6.8394665323526906</v>
      </c>
      <c r="AF27" s="3">
        <f>AE27</f>
        <v>6.8394665323526906</v>
      </c>
      <c r="AG27" s="155">
        <v>6.6877040443500517</v>
      </c>
      <c r="AH27" s="155">
        <v>7.8532888952789417</v>
      </c>
      <c r="AI27" s="155">
        <v>7.3</v>
      </c>
      <c r="AJ27" s="155">
        <v>9</v>
      </c>
      <c r="AK27" s="3">
        <f>AJ27</f>
        <v>9</v>
      </c>
      <c r="AL27" s="155">
        <v>9.5</v>
      </c>
      <c r="AM27" s="155">
        <v>9.1999999999999993</v>
      </c>
      <c r="AN27" s="155">
        <v>9.7000699440757785</v>
      </c>
      <c r="AO27" s="155">
        <v>9.4250025555752153</v>
      </c>
      <c r="AP27" s="3">
        <f>AO27</f>
        <v>9.4250025555752153</v>
      </c>
      <c r="AQ27" s="155">
        <v>9.1</v>
      </c>
      <c r="AR27" s="155">
        <v>8.983981920236177</v>
      </c>
      <c r="AS27" s="155">
        <v>8.7596770294552133</v>
      </c>
      <c r="AT27" s="155">
        <v>8.5737794722171099</v>
      </c>
      <c r="AU27" s="3">
        <f t="shared" si="0"/>
        <v>8.5737794722171099</v>
      </c>
      <c r="AV27" s="155">
        <v>8.3274934000879703</v>
      </c>
      <c r="AW27" s="155">
        <v>8.1</v>
      </c>
      <c r="AX27" s="155">
        <v>7.9</v>
      </c>
      <c r="AY27" s="155">
        <v>8.0101442748999023</v>
      </c>
      <c r="AZ27" s="155">
        <v>7.8</v>
      </c>
      <c r="BA27" s="155">
        <v>7.5188386815322925</v>
      </c>
      <c r="BB27" s="155">
        <v>7.2782773263340177</v>
      </c>
      <c r="BC27" s="155">
        <v>7.0403307684748562</v>
      </c>
      <c r="BD27" s="155">
        <v>7.0403307684748562</v>
      </c>
      <c r="BE27" s="155">
        <v>7.8181993368097373</v>
      </c>
      <c r="BF27" s="155">
        <v>7.5732732210088862</v>
      </c>
      <c r="BG27" s="155">
        <v>7.2421120039323679</v>
      </c>
      <c r="BH27" s="155">
        <v>7.0960903912426669</v>
      </c>
      <c r="BI27" s="155">
        <v>7.0960903912426669</v>
      </c>
    </row>
    <row r="28" spans="2:61" ht="15.5" thickTop="1" thickBot="1" x14ac:dyDescent="0.4">
      <c r="B28" s="149" t="s">
        <v>241</v>
      </c>
      <c r="C28" s="92"/>
      <c r="D28" s="92"/>
      <c r="E28" s="92"/>
      <c r="F28" s="92"/>
      <c r="G28" s="92"/>
      <c r="H28" s="92"/>
      <c r="I28" s="92"/>
      <c r="J28" s="99"/>
      <c r="K28" s="99"/>
      <c r="L28" s="92"/>
      <c r="M28" s="99"/>
      <c r="N28" s="99"/>
      <c r="O28" s="99"/>
      <c r="P28" s="99"/>
      <c r="Q28" s="92"/>
      <c r="R28" s="99"/>
      <c r="S28" s="99"/>
      <c r="T28" s="99"/>
      <c r="U28" s="97"/>
      <c r="V28" s="92"/>
      <c r="W28" s="99"/>
      <c r="X28" s="99"/>
      <c r="Y28" s="99"/>
      <c r="Z28" s="99"/>
      <c r="AA28" s="92"/>
      <c r="AB28" s="99"/>
      <c r="AC28" s="99"/>
      <c r="AD28" s="99"/>
      <c r="AE28" s="99"/>
      <c r="AF28" s="98"/>
      <c r="AG28" s="98"/>
      <c r="AH28" s="155"/>
      <c r="AI28" s="155"/>
      <c r="AJ28" s="155"/>
      <c r="AK28" s="98"/>
      <c r="AL28" s="98"/>
      <c r="AM28" s="98"/>
      <c r="AN28" s="98"/>
      <c r="AO28" s="98"/>
      <c r="AP28" s="98"/>
      <c r="AQ28" s="98"/>
      <c r="AR28" s="154">
        <f>612623/1000</f>
        <v>612.62300000000005</v>
      </c>
      <c r="AS28" s="154">
        <f>641964/1000</f>
        <v>641.96400000000006</v>
      </c>
      <c r="AT28" s="154">
        <v>763.524</v>
      </c>
      <c r="AU28" s="154">
        <f t="shared" si="0"/>
        <v>763.524</v>
      </c>
      <c r="AV28" s="154">
        <v>672.17914827000027</v>
      </c>
      <c r="AW28" s="154">
        <v>645.86271351999994</v>
      </c>
      <c r="AX28" s="154">
        <v>673.58199999999999</v>
      </c>
      <c r="AY28" s="154">
        <v>794.59</v>
      </c>
      <c r="AZ28" s="154">
        <f>703276/1000</f>
        <v>703.27599999999995</v>
      </c>
      <c r="BA28" s="154">
        <v>706.125</v>
      </c>
      <c r="BB28" s="154">
        <v>721.13800000000003</v>
      </c>
      <c r="BC28" s="154">
        <v>952.77599999999995</v>
      </c>
      <c r="BD28" s="154">
        <v>952.77599999999995</v>
      </c>
      <c r="BE28" s="154">
        <v>800.07799999999997</v>
      </c>
      <c r="BF28" s="154">
        <v>756.22199999999998</v>
      </c>
      <c r="BG28" s="154">
        <v>739.04200000000003</v>
      </c>
      <c r="BH28" s="154">
        <v>921.55200000000002</v>
      </c>
      <c r="BI28" s="154">
        <v>921.55200000000002</v>
      </c>
    </row>
    <row r="29" spans="2:61" ht="15.5" thickTop="1" thickBot="1" x14ac:dyDescent="0.4">
      <c r="B29" s="148" t="s">
        <v>240</v>
      </c>
      <c r="C29" s="92"/>
      <c r="D29" s="92"/>
      <c r="E29" s="92"/>
      <c r="F29" s="92"/>
      <c r="G29" s="92"/>
      <c r="H29" s="92"/>
      <c r="I29" s="92"/>
      <c r="J29" s="99"/>
      <c r="K29" s="99"/>
      <c r="L29" s="92"/>
      <c r="M29" s="99"/>
      <c r="N29" s="99"/>
      <c r="O29" s="99"/>
      <c r="P29" s="99"/>
      <c r="Q29" s="92"/>
      <c r="R29" s="99"/>
      <c r="S29" s="99"/>
      <c r="T29" s="99"/>
      <c r="U29" s="97"/>
      <c r="V29" s="92"/>
      <c r="W29" s="99"/>
      <c r="X29" s="99"/>
      <c r="Y29" s="99"/>
      <c r="Z29" s="99"/>
      <c r="AA29" s="92"/>
      <c r="AB29" s="99"/>
      <c r="AC29" s="99"/>
      <c r="AD29" s="99"/>
      <c r="AE29" s="99"/>
      <c r="AF29" s="99"/>
      <c r="AG29" s="99"/>
      <c r="AH29" s="155"/>
      <c r="AI29" s="155"/>
      <c r="AJ29" s="155"/>
      <c r="AK29" s="99"/>
      <c r="AL29" s="99"/>
      <c r="AM29" s="99"/>
      <c r="AN29" s="99"/>
      <c r="AO29" s="99"/>
      <c r="AP29" s="99"/>
      <c r="AQ29" s="99"/>
      <c r="AR29" s="157">
        <v>243.55079368418819</v>
      </c>
      <c r="AS29" s="157">
        <v>259.18730213057444</v>
      </c>
      <c r="AT29" s="157">
        <v>300.47230555157654</v>
      </c>
      <c r="AU29" s="157">
        <v>300.47230555157654</v>
      </c>
      <c r="AV29" s="142">
        <v>264.63570661327981</v>
      </c>
      <c r="AW29" s="142">
        <v>254.27497417530893</v>
      </c>
      <c r="AX29" s="142">
        <v>265.18800678474094</v>
      </c>
      <c r="AY29" s="142">
        <v>312.63054879879229</v>
      </c>
      <c r="AZ29" s="142">
        <v>276.68406534955363</v>
      </c>
      <c r="BA29" s="142">
        <v>277.90183412731102</v>
      </c>
      <c r="BB29" s="142">
        <v>283.71799147408495</v>
      </c>
      <c r="BC29" s="142">
        <v>374.97354988491111</v>
      </c>
      <c r="BD29" s="142">
        <v>374.97354988491111</v>
      </c>
      <c r="BE29" s="142">
        <v>247.05117520674878</v>
      </c>
      <c r="BF29" s="142">
        <v>251.3682298796258</v>
      </c>
      <c r="BG29" s="142">
        <v>257.62534406531813</v>
      </c>
      <c r="BH29" s="142">
        <v>342.49520833161699</v>
      </c>
      <c r="BI29" s="142">
        <v>342.49520833161699</v>
      </c>
    </row>
    <row r="30" spans="2:61" ht="15.5" thickTop="1" thickBot="1" x14ac:dyDescent="0.4">
      <c r="B30" s="150" t="s">
        <v>27</v>
      </c>
      <c r="C30" s="100"/>
      <c r="D30" s="100"/>
      <c r="E30" s="100"/>
      <c r="F30" s="100"/>
      <c r="G30" s="100"/>
      <c r="H30" s="100"/>
      <c r="I30" s="100"/>
      <c r="J30" s="100"/>
      <c r="K30" s="100"/>
      <c r="L30" s="100"/>
      <c r="M30" s="100"/>
      <c r="N30" s="100"/>
      <c r="O30" s="100"/>
      <c r="P30" s="100"/>
      <c r="Q30" s="100"/>
      <c r="R30" s="101"/>
      <c r="S30" s="101"/>
      <c r="T30" s="101"/>
      <c r="U30" s="101"/>
      <c r="V30" s="100"/>
      <c r="W30" s="101"/>
      <c r="X30" s="101"/>
      <c r="Y30" s="101"/>
      <c r="Z30" s="101"/>
      <c r="AA30" s="100"/>
      <c r="AB30" s="101"/>
      <c r="AC30" s="101"/>
      <c r="AD30" s="101"/>
      <c r="AE30" s="5">
        <v>0.99710091594648897</v>
      </c>
      <c r="AF30" s="156">
        <f>AE30</f>
        <v>0.99710091594648897</v>
      </c>
      <c r="AG30" s="156">
        <v>0.99710415670165298</v>
      </c>
      <c r="AH30" s="156">
        <v>0.99723457855643416</v>
      </c>
      <c r="AI30" s="156">
        <v>0.997</v>
      </c>
      <c r="AJ30" s="156">
        <v>0.997</v>
      </c>
      <c r="AK30" s="156">
        <f>AJ30</f>
        <v>0.997</v>
      </c>
      <c r="AL30" s="156">
        <v>0.99299999999999999</v>
      </c>
      <c r="AM30" s="156">
        <v>0.99299999999999999</v>
      </c>
      <c r="AN30" s="156">
        <v>0.99296129511961917</v>
      </c>
      <c r="AO30" s="156">
        <v>0.99378409542782076</v>
      </c>
      <c r="AP30" s="156">
        <f>AO30</f>
        <v>0.99378409542782076</v>
      </c>
      <c r="AQ30" s="156">
        <v>0.99099999999999999</v>
      </c>
      <c r="AR30" s="156">
        <v>0.99117703078329122</v>
      </c>
      <c r="AS30" s="156">
        <v>0.99199999999999999</v>
      </c>
      <c r="AT30" s="156">
        <v>0.99141458569682717</v>
      </c>
      <c r="AU30" s="156">
        <f t="shared" si="0"/>
        <v>0.99141458569682717</v>
      </c>
      <c r="AV30" s="156">
        <v>0.99099999999999999</v>
      </c>
      <c r="AW30" s="156">
        <v>0.99099999999999999</v>
      </c>
      <c r="AX30" s="156">
        <v>0.99099999999999999</v>
      </c>
      <c r="AY30" s="156">
        <v>0.99162791189813981</v>
      </c>
      <c r="AZ30" s="156">
        <v>0.99199999999999999</v>
      </c>
      <c r="BA30" s="156">
        <v>0.99167723212829983</v>
      </c>
      <c r="BB30" s="156">
        <v>0.99199999999999999</v>
      </c>
      <c r="BC30" s="156">
        <v>0.99167723212829983</v>
      </c>
      <c r="BD30" s="156">
        <v>0.99167723212829983</v>
      </c>
      <c r="BE30" s="156">
        <v>0.99302011313388883</v>
      </c>
      <c r="BF30" s="156">
        <v>0.99270384007288981</v>
      </c>
      <c r="BG30" s="156">
        <v>0.99270384007288981</v>
      </c>
      <c r="BH30" s="156">
        <v>0.99261754558102733</v>
      </c>
      <c r="BI30" s="156">
        <v>0.99261754558102733</v>
      </c>
    </row>
    <row r="31" spans="2:61" ht="15" thickTop="1" x14ac:dyDescent="0.35">
      <c r="B31" s="129" t="s">
        <v>278</v>
      </c>
    </row>
    <row r="32" spans="2:61" x14ac:dyDescent="0.35">
      <c r="B32" s="47" t="s">
        <v>249</v>
      </c>
    </row>
    <row r="33" spans="2:2" x14ac:dyDescent="0.35">
      <c r="B33" s="47" t="s">
        <v>360</v>
      </c>
    </row>
  </sheetData>
  <hyperlinks>
    <hyperlink ref="A1" location="Índice!A1" display="Regreso al índice" xr:uid="{CBC1D338-1A26-46AD-ACEA-3ECDD4503FA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EAAC52-13D5-44C7-A9AD-B59D1FB17809}">
  <dimension ref="A1:BJ13"/>
  <sheetViews>
    <sheetView zoomScale="115" zoomScaleNormal="115" workbookViewId="0">
      <pane xSplit="2" topLeftCell="AZ1" activePane="topRight" state="frozen"/>
      <selection pane="topRight" activeCell="BJ2" sqref="BJ2"/>
    </sheetView>
  </sheetViews>
  <sheetFormatPr baseColWidth="10" defaultColWidth="9" defaultRowHeight="14.5" outlineLevelCol="1" x14ac:dyDescent="0.35"/>
  <cols>
    <col min="1" max="1" width="3.1796875" style="1" customWidth="1"/>
    <col min="2" max="2" width="23.453125" style="1" bestFit="1" customWidth="1"/>
    <col min="3" max="6" width="0" style="1" hidden="1" customWidth="1" outlineLevel="1"/>
    <col min="7" max="7" width="9" style="1" collapsed="1"/>
    <col min="8" max="11" width="0" style="1" hidden="1" customWidth="1" outlineLevel="1"/>
    <col min="12" max="12" width="9" style="1" collapsed="1"/>
    <col min="13" max="16" width="0" style="1" hidden="1" customWidth="1" outlineLevel="1"/>
    <col min="17" max="17" width="9" style="1" collapsed="1"/>
    <col min="18" max="21" width="0" style="1" hidden="1" customWidth="1" outlineLevel="1"/>
    <col min="22" max="22" width="9" style="1" collapsed="1"/>
    <col min="23" max="26" width="9" style="1" hidden="1" customWidth="1" outlineLevel="1"/>
    <col min="27" max="27" width="9" style="1" collapsed="1"/>
    <col min="28" max="31" width="9" style="1" hidden="1" customWidth="1" outlineLevel="1"/>
    <col min="32" max="32" width="9" style="1" collapsed="1"/>
    <col min="33" max="36" width="9" style="1" customWidth="1" outlineLevel="1"/>
    <col min="37" max="16384" width="9" style="1"/>
  </cols>
  <sheetData>
    <row r="1" spans="1:62" x14ac:dyDescent="0.35">
      <c r="A1" s="130" t="s">
        <v>252</v>
      </c>
    </row>
    <row r="2" spans="1:62" ht="15" thickBot="1" x14ac:dyDescent="0.4"/>
    <row r="3" spans="1:62" ht="15.5" thickTop="1" thickBot="1" x14ac:dyDescent="0.4">
      <c r="B3" s="151" t="s">
        <v>46</v>
      </c>
      <c r="C3" s="131" t="s">
        <v>254</v>
      </c>
      <c r="D3" s="32" t="s">
        <v>255</v>
      </c>
      <c r="E3" s="32" t="s">
        <v>256</v>
      </c>
      <c r="F3" s="32" t="s">
        <v>257</v>
      </c>
      <c r="G3" s="34">
        <v>2014</v>
      </c>
      <c r="H3" s="32" t="s">
        <v>258</v>
      </c>
      <c r="I3" s="32" t="s">
        <v>259</v>
      </c>
      <c r="J3" s="32" t="s">
        <v>260</v>
      </c>
      <c r="K3" s="32" t="s">
        <v>261</v>
      </c>
      <c r="L3" s="34">
        <v>2015</v>
      </c>
      <c r="M3" s="32" t="s">
        <v>262</v>
      </c>
      <c r="N3" s="32" t="s">
        <v>263</v>
      </c>
      <c r="O3" s="32" t="s">
        <v>264</v>
      </c>
      <c r="P3" s="32" t="s">
        <v>265</v>
      </c>
      <c r="Q3" s="34">
        <v>2016</v>
      </c>
      <c r="R3" s="32" t="s">
        <v>266</v>
      </c>
      <c r="S3" s="32" t="s">
        <v>267</v>
      </c>
      <c r="T3" s="32" t="s">
        <v>268</v>
      </c>
      <c r="U3" s="32" t="s">
        <v>269</v>
      </c>
      <c r="V3" s="34">
        <v>2017</v>
      </c>
      <c r="W3" s="32" t="s">
        <v>270</v>
      </c>
      <c r="X3" s="32" t="s">
        <v>271</v>
      </c>
      <c r="Y3" s="32" t="s">
        <v>272</v>
      </c>
      <c r="Z3" s="32" t="s">
        <v>273</v>
      </c>
      <c r="AA3" s="34">
        <v>2018</v>
      </c>
      <c r="AB3" s="32" t="s">
        <v>274</v>
      </c>
      <c r="AC3" s="32" t="s">
        <v>275</v>
      </c>
      <c r="AD3" s="32" t="s">
        <v>276</v>
      </c>
      <c r="AE3" s="32" t="s">
        <v>277</v>
      </c>
      <c r="AF3" s="132">
        <v>2019</v>
      </c>
      <c r="AG3" s="32" t="s">
        <v>279</v>
      </c>
      <c r="AH3" s="32" t="s">
        <v>280</v>
      </c>
      <c r="AI3" s="32" t="s">
        <v>281</v>
      </c>
      <c r="AJ3" s="32" t="s">
        <v>282</v>
      </c>
      <c r="AK3" s="132">
        <v>2020</v>
      </c>
      <c r="AL3" s="32" t="s">
        <v>301</v>
      </c>
      <c r="AM3" s="32" t="s">
        <v>304</v>
      </c>
      <c r="AN3" s="32" t="s">
        <v>309</v>
      </c>
      <c r="AO3" s="32" t="s">
        <v>312</v>
      </c>
      <c r="AP3" s="132">
        <v>2021</v>
      </c>
      <c r="AQ3" s="32" t="s">
        <v>317</v>
      </c>
      <c r="AR3" s="32" t="s">
        <v>328</v>
      </c>
      <c r="AS3" s="32" t="s">
        <v>348</v>
      </c>
      <c r="AT3" s="32" t="s">
        <v>349</v>
      </c>
      <c r="AU3" s="132">
        <v>2022</v>
      </c>
      <c r="AV3" s="32" t="s">
        <v>359</v>
      </c>
      <c r="AW3" s="32" t="s">
        <v>380</v>
      </c>
      <c r="AX3" s="32" t="s">
        <v>389</v>
      </c>
      <c r="AY3" s="32" t="s">
        <v>391</v>
      </c>
      <c r="AZ3" s="132">
        <v>2023</v>
      </c>
      <c r="BA3" s="32" t="s">
        <v>403</v>
      </c>
      <c r="BB3" s="32" t="s">
        <v>405</v>
      </c>
      <c r="BC3" s="32" t="s">
        <v>406</v>
      </c>
      <c r="BD3" s="32" t="s">
        <v>413</v>
      </c>
      <c r="BE3" s="132">
        <v>2024</v>
      </c>
      <c r="BF3" s="32" t="s">
        <v>414</v>
      </c>
      <c r="BG3" s="32" t="s">
        <v>437</v>
      </c>
      <c r="BH3" s="32" t="s">
        <v>438</v>
      </c>
      <c r="BI3" s="32" t="s">
        <v>443</v>
      </c>
      <c r="BJ3" s="132">
        <v>2025</v>
      </c>
    </row>
    <row r="4" spans="1:62" s="23" customFormat="1" ht="12.5" thickTop="1" x14ac:dyDescent="0.3">
      <c r="B4" s="152" t="s">
        <v>52</v>
      </c>
      <c r="C4" s="24"/>
      <c r="D4" s="24"/>
      <c r="E4" s="24"/>
      <c r="F4" s="24"/>
      <c r="G4" s="24"/>
      <c r="H4" s="24"/>
      <c r="I4" s="24"/>
      <c r="J4" s="24"/>
      <c r="K4" s="24"/>
      <c r="L4" s="24"/>
      <c r="M4" s="24">
        <v>0.797533888175325</v>
      </c>
      <c r="N4" s="24">
        <v>0.79856958541660028</v>
      </c>
      <c r="O4" s="24">
        <v>0.84096940868452108</v>
      </c>
      <c r="P4" s="24">
        <v>0.87773129261250016</v>
      </c>
      <c r="Q4" s="24">
        <f>SUM(M4:P4)</f>
        <v>3.3148041748889465</v>
      </c>
      <c r="R4" s="24">
        <v>0.8854826911871867</v>
      </c>
      <c r="S4" s="24">
        <v>0.87921874052457505</v>
      </c>
      <c r="T4" s="24">
        <v>0.86366600585665143</v>
      </c>
      <c r="U4" s="24">
        <v>0.83194019998914037</v>
      </c>
      <c r="V4" s="24">
        <f>SUM(R4:U4)</f>
        <v>3.4603076375575537</v>
      </c>
      <c r="W4" s="24">
        <v>0.82823844489831011</v>
      </c>
      <c r="X4" s="24">
        <v>0.84828976914501153</v>
      </c>
      <c r="Y4" s="24">
        <v>0.8739344241673348</v>
      </c>
      <c r="Z4" s="24">
        <v>0.91762374189840001</v>
      </c>
      <c r="AA4" s="24">
        <f>SUM(W4:Z4)</f>
        <v>3.4680863801090562</v>
      </c>
      <c r="AB4" s="24">
        <v>0.9428141690349342</v>
      </c>
      <c r="AC4" s="24">
        <v>0.96329865644934121</v>
      </c>
      <c r="AD4" s="24">
        <v>0.96415862020127596</v>
      </c>
      <c r="AE4" s="24">
        <v>1.0243830916408174</v>
      </c>
      <c r="AF4" s="24">
        <f>SUM(AB4:AE4)</f>
        <v>3.8946545373263688</v>
      </c>
      <c r="AG4" s="24">
        <v>1.0590324058982641</v>
      </c>
      <c r="AH4" s="24">
        <v>0.82608236743449659</v>
      </c>
      <c r="AI4" s="24">
        <v>0.87128550486623779</v>
      </c>
      <c r="AJ4" s="24">
        <v>1.0563549747320149</v>
      </c>
      <c r="AK4" s="24">
        <f>SUM(AG4:AJ4)</f>
        <v>3.8127552529310131</v>
      </c>
      <c r="AL4" s="24">
        <v>1.0981983748973962</v>
      </c>
      <c r="AM4" s="24">
        <v>1.1149192333078437</v>
      </c>
      <c r="AN4" s="24">
        <v>1.1461313342622184</v>
      </c>
      <c r="AO4" s="24">
        <v>1.2116810529504425</v>
      </c>
      <c r="AP4" s="24">
        <f>SUM(AL4:AO4)</f>
        <v>4.5709299954179006</v>
      </c>
      <c r="AQ4" s="24">
        <v>1.2200111912967366</v>
      </c>
      <c r="AR4" s="24">
        <v>1.2015546738556886</v>
      </c>
      <c r="AS4" s="24">
        <v>1.264900408821918</v>
      </c>
      <c r="AT4" s="24">
        <v>1.2892431860280498</v>
      </c>
      <c r="AU4" s="24">
        <f>SUM(AQ4:AT4)</f>
        <v>4.9757094600023937</v>
      </c>
      <c r="AV4" s="24">
        <v>1.3231389256417041</v>
      </c>
      <c r="AW4" s="24">
        <v>1.325210037504309</v>
      </c>
      <c r="AX4" s="24">
        <v>1.3212086522259323</v>
      </c>
      <c r="AY4" s="24">
        <v>1.3424814619584491</v>
      </c>
      <c r="AZ4" s="24">
        <f>SUM(AV4:AY4)</f>
        <v>5.3120390773303949</v>
      </c>
      <c r="BA4" s="23">
        <v>1.3623000000000001</v>
      </c>
      <c r="BB4" s="186">
        <v>1.343681702301335</v>
      </c>
      <c r="BC4" s="186">
        <v>1.4189422786193207</v>
      </c>
      <c r="BD4" s="24">
        <v>1.4620960321036054</v>
      </c>
      <c r="BE4" s="24">
        <v>5.5870200130242615</v>
      </c>
      <c r="BF4" s="24">
        <v>1.483403558986212</v>
      </c>
      <c r="BG4" s="24">
        <v>1.4659861762025621</v>
      </c>
      <c r="BH4" s="24">
        <v>1.4667437998102177</v>
      </c>
      <c r="BI4" s="24">
        <v>1.595832354062626</v>
      </c>
      <c r="BJ4" s="24">
        <v>6.0119658890616172</v>
      </c>
    </row>
    <row r="5" spans="1:62" s="23" customFormat="1" ht="12" x14ac:dyDescent="0.3">
      <c r="B5" s="152" t="s">
        <v>53</v>
      </c>
      <c r="C5" s="24">
        <v>0.4</v>
      </c>
      <c r="D5" s="24">
        <v>0.46250000000000002</v>
      </c>
      <c r="E5" s="24">
        <v>0.36070000000000002</v>
      </c>
      <c r="F5" s="24">
        <v>0.44290000000000002</v>
      </c>
      <c r="G5" s="24">
        <f>SUM(C5:F5)</f>
        <v>1.6661000000000001</v>
      </c>
      <c r="H5" s="24">
        <v>0.42559999999999998</v>
      </c>
      <c r="I5" s="24">
        <v>0.44500000000000001</v>
      </c>
      <c r="J5" s="24">
        <v>0.49990000000000001</v>
      </c>
      <c r="K5" s="24">
        <v>0.53231307408379414</v>
      </c>
      <c r="L5" s="24">
        <f>SUM(H5:K5)</f>
        <v>1.9028130740837943</v>
      </c>
      <c r="M5" s="24">
        <v>0.50228448179772001</v>
      </c>
      <c r="N5" s="24">
        <v>0.47849527619775212</v>
      </c>
      <c r="O5" s="24">
        <v>0.49265690645927013</v>
      </c>
      <c r="P5" s="24">
        <v>0.51907689383603606</v>
      </c>
      <c r="Q5" s="24">
        <f>SUM(M5:P5)</f>
        <v>1.9925135582907783</v>
      </c>
      <c r="R5" s="24">
        <v>0.5204988788758953</v>
      </c>
      <c r="S5" s="24">
        <v>0.48819764485009531</v>
      </c>
      <c r="T5" s="24">
        <v>0.46992686565619501</v>
      </c>
      <c r="U5" s="24">
        <v>0.48575259868037923</v>
      </c>
      <c r="V5" s="24">
        <f>SUM(R5:U5)</f>
        <v>1.9643759880625649</v>
      </c>
      <c r="W5" s="24">
        <v>0.50287797580579885</v>
      </c>
      <c r="X5" s="24">
        <v>0.49585496209891533</v>
      </c>
      <c r="Y5" s="24">
        <v>0.5597282257763263</v>
      </c>
      <c r="Z5" s="24">
        <v>0.60356407850414606</v>
      </c>
      <c r="AA5" s="24">
        <f>SUM(W5:Z5)</f>
        <v>2.1620252421851864</v>
      </c>
      <c r="AB5" s="24">
        <v>0.57026934353729986</v>
      </c>
      <c r="AC5" s="24">
        <v>0.56712419183733287</v>
      </c>
      <c r="AD5" s="24">
        <v>0.56723950717818017</v>
      </c>
      <c r="AE5" s="24">
        <v>0.63020316545047583</v>
      </c>
      <c r="AF5" s="24">
        <f>SUM(AB5:AE5)</f>
        <v>2.3348362080032885</v>
      </c>
      <c r="AG5" s="24">
        <v>0.58087096992876486</v>
      </c>
      <c r="AH5" s="24">
        <v>0.25543116015968587</v>
      </c>
      <c r="AI5" s="24">
        <v>0.29303473049916956</v>
      </c>
      <c r="AJ5" s="24">
        <v>0.46609577719659923</v>
      </c>
      <c r="AK5" s="24">
        <f t="shared" ref="AK5:AK7" si="0">SUM(AG5:AJ5)</f>
        <v>1.5954326377842196</v>
      </c>
      <c r="AL5" s="24">
        <v>0.53580636944866522</v>
      </c>
      <c r="AM5" s="24">
        <v>0.57301071485883159</v>
      </c>
      <c r="AN5" s="24">
        <v>0.58458423786570612</v>
      </c>
      <c r="AO5" s="24">
        <v>0.66813931202845778</v>
      </c>
      <c r="AP5" s="24">
        <f>SUM(AL5:AO5)</f>
        <v>2.3615406342016607</v>
      </c>
      <c r="AQ5" s="24">
        <v>0.6303297466980009</v>
      </c>
      <c r="AR5" s="24">
        <v>0.61883949701823548</v>
      </c>
      <c r="AS5" s="24">
        <v>0.60148916193418756</v>
      </c>
      <c r="AT5" s="24">
        <v>0.59523551204022229</v>
      </c>
      <c r="AU5" s="24">
        <f>SUM(AQ5:AT5)</f>
        <v>2.445893917690646</v>
      </c>
      <c r="AV5" s="24">
        <v>0.58738343477110344</v>
      </c>
      <c r="AW5" s="24">
        <v>0.57379622513824147</v>
      </c>
      <c r="AX5" s="24">
        <v>0.58227906331134527</v>
      </c>
      <c r="AY5" s="24">
        <v>0.60577475042053608</v>
      </c>
      <c r="AZ5" s="24">
        <f t="shared" ref="AZ5:AZ7" si="1">SUM(AV5:AY5)</f>
        <v>2.3492334736412261</v>
      </c>
      <c r="BA5" s="23">
        <v>0.58579999999999999</v>
      </c>
      <c r="BB5" s="186">
        <v>0.57358555221711194</v>
      </c>
      <c r="BC5" s="186">
        <v>0.59748877888568241</v>
      </c>
      <c r="BD5" s="24">
        <v>0.65799569896647847</v>
      </c>
      <c r="BE5" s="24">
        <v>2.4148700300692729</v>
      </c>
      <c r="BF5" s="24">
        <v>0.62614958498975926</v>
      </c>
      <c r="BG5" s="24">
        <v>0.61619396447612174</v>
      </c>
      <c r="BH5" s="24">
        <v>0.62845443253549249</v>
      </c>
      <c r="BI5" s="24">
        <v>0.66903737979512767</v>
      </c>
      <c r="BJ5" s="24">
        <v>2.5398353617965013</v>
      </c>
    </row>
    <row r="6" spans="1:62" s="23" customFormat="1" ht="12" x14ac:dyDescent="0.3">
      <c r="B6" s="152" t="s">
        <v>54</v>
      </c>
      <c r="C6" s="24"/>
      <c r="D6" s="24"/>
      <c r="E6" s="24"/>
      <c r="F6" s="24"/>
      <c r="G6" s="24"/>
      <c r="H6" s="24"/>
      <c r="I6" s="24"/>
      <c r="J6" s="24"/>
      <c r="K6" s="24"/>
      <c r="L6" s="24"/>
      <c r="M6" s="24"/>
      <c r="N6" s="24"/>
      <c r="O6" s="24"/>
      <c r="P6" s="24">
        <v>0.51691596811385543</v>
      </c>
      <c r="Q6" s="24"/>
      <c r="R6" s="24">
        <v>0.51834457252907029</v>
      </c>
      <c r="S6" s="24">
        <v>0.48605818183637112</v>
      </c>
      <c r="T6" s="24">
        <v>0.46782467122338284</v>
      </c>
      <c r="U6" s="24">
        <v>0.50812793760346364</v>
      </c>
      <c r="V6" s="24">
        <f>SUM(R6:U6)</f>
        <v>1.9803553631922881</v>
      </c>
      <c r="W6" s="24">
        <v>0.50865976620849884</v>
      </c>
      <c r="X6" s="24">
        <v>0.51770000000000005</v>
      </c>
      <c r="Y6" s="24">
        <v>0.57600692312758628</v>
      </c>
      <c r="Z6" s="24">
        <v>0.61616167624255347</v>
      </c>
      <c r="AA6" s="24">
        <f>SUM(W6:Z6)</f>
        <v>2.2185283655786385</v>
      </c>
      <c r="AB6" s="24">
        <v>0.58055181742358342</v>
      </c>
      <c r="AC6" s="24">
        <v>0.56712419183733287</v>
      </c>
      <c r="AD6" s="24">
        <v>0.56994078879356802</v>
      </c>
      <c r="AE6" s="24">
        <v>0.63020316545047583</v>
      </c>
      <c r="AF6" s="24">
        <f>SUM(AB6:AE6)</f>
        <v>2.3478199635049601</v>
      </c>
      <c r="AG6" s="24">
        <v>0.58087096992876486</v>
      </c>
      <c r="AH6" s="24">
        <v>0.25543116015968587</v>
      </c>
      <c r="AI6" s="24">
        <v>0.34413550400255766</v>
      </c>
      <c r="AJ6" s="24">
        <v>0.54098566896861566</v>
      </c>
      <c r="AK6" s="24">
        <f t="shared" si="0"/>
        <v>1.7214233030596242</v>
      </c>
      <c r="AL6" s="24">
        <v>0.54808432313166333</v>
      </c>
      <c r="AM6" s="24">
        <v>0.57301071485883159</v>
      </c>
      <c r="AN6" s="24">
        <v>0.58458423786570612</v>
      </c>
      <c r="AO6" s="24">
        <v>0.69345315807722452</v>
      </c>
      <c r="AP6" s="24">
        <f>SUM(AL6:AO6)</f>
        <v>2.3991324339334255</v>
      </c>
      <c r="AQ6" s="24">
        <v>0.6303297466980009</v>
      </c>
      <c r="AR6" s="24">
        <v>0.65366884806803249</v>
      </c>
      <c r="AS6" s="24">
        <v>0.66509079889016909</v>
      </c>
      <c r="AT6" s="24">
        <v>0.75343212490076739</v>
      </c>
      <c r="AU6" s="24">
        <f>SUM(AQ6:AT6)</f>
        <v>2.7025215185569698</v>
      </c>
      <c r="AV6" s="24">
        <v>0.58738343477110344</v>
      </c>
      <c r="AW6" s="24">
        <v>0.57379622513824147</v>
      </c>
      <c r="AX6" s="24">
        <v>0.58227906331134527</v>
      </c>
      <c r="AY6" s="24">
        <v>0.60577475042053608</v>
      </c>
      <c r="AZ6" s="24">
        <f t="shared" si="1"/>
        <v>2.3492334736412261</v>
      </c>
      <c r="BA6" s="23">
        <v>0.58579999999999999</v>
      </c>
      <c r="BB6" s="186">
        <v>0.57358555221711194</v>
      </c>
      <c r="BC6" s="186">
        <v>0.59748877888568241</v>
      </c>
      <c r="BD6" s="24">
        <v>0.65799569896647847</v>
      </c>
      <c r="BE6" s="24">
        <v>2.4148700300692729</v>
      </c>
      <c r="BF6" s="24">
        <v>0.62614958498975926</v>
      </c>
      <c r="BG6" s="24">
        <v>0.61619396447612174</v>
      </c>
      <c r="BH6" s="24">
        <v>0.64004793954171391</v>
      </c>
      <c r="BI6" s="24">
        <v>0.67118425511928181</v>
      </c>
      <c r="BJ6" s="24">
        <v>2.5535757441268769</v>
      </c>
    </row>
    <row r="7" spans="1:62" s="23" customFormat="1" ht="12.5" thickBot="1" x14ac:dyDescent="0.35">
      <c r="B7" s="152" t="s">
        <v>55</v>
      </c>
      <c r="C7" s="24">
        <v>0.43669999999999998</v>
      </c>
      <c r="D7" s="24">
        <v>0.40139999999999998</v>
      </c>
      <c r="E7" s="24">
        <v>0.49759999999999999</v>
      </c>
      <c r="F7" s="24">
        <v>0.48899999999999999</v>
      </c>
      <c r="G7" s="24">
        <f>SUM(C7:F7)</f>
        <v>1.8247</v>
      </c>
      <c r="H7" s="24">
        <v>0.49209999999999998</v>
      </c>
      <c r="I7" s="24">
        <v>0.49340000000000001</v>
      </c>
      <c r="J7" s="24">
        <v>0.50049999999999994</v>
      </c>
      <c r="K7" s="24">
        <v>0.50969131404496915</v>
      </c>
      <c r="L7" s="24">
        <f>SUM(H7:K7)</f>
        <v>1.995691314044969</v>
      </c>
      <c r="M7" s="24">
        <v>0.50197689152188751</v>
      </c>
      <c r="N7" s="24">
        <v>0.48013932827016192</v>
      </c>
      <c r="O7" s="24">
        <v>0.4894</v>
      </c>
      <c r="P7" s="24">
        <v>0.51160000000000005</v>
      </c>
      <c r="Q7" s="24">
        <f>SUM(M7:P7)</f>
        <v>1.9831162197920496</v>
      </c>
      <c r="R7" s="24">
        <v>0.51539999999999997</v>
      </c>
      <c r="S7" s="24">
        <v>0.51149999999999995</v>
      </c>
      <c r="T7" s="24">
        <v>0.51662415744755652</v>
      </c>
      <c r="U7" s="24">
        <v>0.51069348343396004</v>
      </c>
      <c r="V7" s="24">
        <f>SUM(R7:U7)</f>
        <v>2.0542176408815163</v>
      </c>
      <c r="W7" s="24">
        <v>0.52969999999999995</v>
      </c>
      <c r="X7" s="24">
        <v>0.54010874135554499</v>
      </c>
      <c r="Y7" s="24">
        <v>0.55498441499828954</v>
      </c>
      <c r="Z7" s="24">
        <v>0.57550003800325233</v>
      </c>
      <c r="AA7" s="24">
        <f>SUM(W7:Z7)</f>
        <v>2.2002931943570871</v>
      </c>
      <c r="AB7" s="24">
        <v>0.58055181742358342</v>
      </c>
      <c r="AC7" s="24">
        <v>0.58359999994531842</v>
      </c>
      <c r="AD7" s="24">
        <v>0.58499999999999996</v>
      </c>
      <c r="AE7" s="24">
        <v>0.58989999999999998</v>
      </c>
      <c r="AF7" s="24">
        <f>SUM(AB7:AE7)</f>
        <v>2.3390518173689019</v>
      </c>
      <c r="AG7" s="158">
        <v>0.29039999999999999</v>
      </c>
      <c r="AH7" s="24">
        <v>0.28097421657974769</v>
      </c>
      <c r="AI7" s="24">
        <v>0.31704435111933849</v>
      </c>
      <c r="AJ7" s="24">
        <v>0.31191211254001711</v>
      </c>
      <c r="AK7" s="24">
        <f t="shared" si="0"/>
        <v>1.2003306802391034</v>
      </c>
      <c r="AL7" s="158">
        <v>0.32834526324430141</v>
      </c>
      <c r="AM7" s="24">
        <v>0.3310999998239737</v>
      </c>
      <c r="AN7" s="158">
        <v>0.3699999998342105</v>
      </c>
      <c r="AO7" s="24">
        <v>0.6828550018532682</v>
      </c>
      <c r="AP7" s="24">
        <f>SUM(AL7:AO7)</f>
        <v>1.7123002647557537</v>
      </c>
      <c r="AQ7" s="158">
        <v>0.50487999470759459</v>
      </c>
      <c r="AR7" s="24">
        <v>0.52363164858428157</v>
      </c>
      <c r="AS7" s="158">
        <v>0.56589999999999996</v>
      </c>
      <c r="AT7" s="24">
        <v>1.1067786000956128</v>
      </c>
      <c r="AU7" s="24">
        <f>SUM(AQ7:AT7)</f>
        <v>2.7011902433874893</v>
      </c>
      <c r="AV7" s="158">
        <v>0.38913271152421275</v>
      </c>
      <c r="AW7" s="24">
        <v>0.57131305181573711</v>
      </c>
      <c r="AX7" s="24">
        <v>0.58227906325038192</v>
      </c>
      <c r="AY7" s="24">
        <v>0.7028121305346875</v>
      </c>
      <c r="AZ7" s="24">
        <f t="shared" si="1"/>
        <v>2.2455369571250197</v>
      </c>
      <c r="BA7" s="186">
        <v>0.40300000000000002</v>
      </c>
      <c r="BB7" s="186">
        <v>0.51902258427869818</v>
      </c>
      <c r="BC7" s="186">
        <v>0.52500000000000002</v>
      </c>
      <c r="BD7" s="24">
        <v>0.55132772891229431</v>
      </c>
      <c r="BE7" s="24">
        <v>1.9983</v>
      </c>
      <c r="BF7" s="186">
        <v>0.55495337983233728</v>
      </c>
      <c r="BG7" s="186">
        <v>0.57000000000000006</v>
      </c>
      <c r="BH7" s="186">
        <v>0.60499999999999998</v>
      </c>
      <c r="BI7" s="186">
        <v>0.66999999999999993</v>
      </c>
      <c r="BJ7" s="24">
        <v>2.3999533798323371</v>
      </c>
    </row>
    <row r="8" spans="1:62" ht="15.5" thickTop="1" thickBot="1" x14ac:dyDescent="0.4">
      <c r="B8" s="151" t="s">
        <v>58</v>
      </c>
      <c r="C8" s="131" t="s">
        <v>254</v>
      </c>
      <c r="D8" s="32" t="s">
        <v>255</v>
      </c>
      <c r="E8" s="32" t="s">
        <v>256</v>
      </c>
      <c r="F8" s="32" t="s">
        <v>257</v>
      </c>
      <c r="G8" s="34">
        <v>2014</v>
      </c>
      <c r="H8" s="32" t="s">
        <v>258</v>
      </c>
      <c r="I8" s="32" t="s">
        <v>259</v>
      </c>
      <c r="J8" s="32" t="s">
        <v>260</v>
      </c>
      <c r="K8" s="32" t="s">
        <v>261</v>
      </c>
      <c r="L8" s="34">
        <v>2015</v>
      </c>
      <c r="M8" s="32" t="s">
        <v>262</v>
      </c>
      <c r="N8" s="32" t="s">
        <v>263</v>
      </c>
      <c r="O8" s="32" t="s">
        <v>264</v>
      </c>
      <c r="P8" s="32" t="s">
        <v>265</v>
      </c>
      <c r="Q8" s="34">
        <v>2016</v>
      </c>
      <c r="R8" s="32" t="s">
        <v>266</v>
      </c>
      <c r="S8" s="32" t="s">
        <v>267</v>
      </c>
      <c r="T8" s="32" t="s">
        <v>268</v>
      </c>
      <c r="U8" s="32" t="s">
        <v>269</v>
      </c>
      <c r="V8" s="34">
        <v>2017</v>
      </c>
      <c r="W8" s="32" t="s">
        <v>270</v>
      </c>
      <c r="X8" s="32" t="s">
        <v>271</v>
      </c>
      <c r="Y8" s="32" t="s">
        <v>272</v>
      </c>
      <c r="Z8" s="32" t="s">
        <v>273</v>
      </c>
      <c r="AA8" s="34">
        <v>2018</v>
      </c>
      <c r="AB8" s="32" t="s">
        <v>274</v>
      </c>
      <c r="AC8" s="32" t="s">
        <v>275</v>
      </c>
      <c r="AD8" s="32" t="s">
        <v>276</v>
      </c>
      <c r="AE8" s="32" t="s">
        <v>277</v>
      </c>
      <c r="AF8" s="132">
        <v>2019</v>
      </c>
      <c r="AG8" s="32" t="s">
        <v>279</v>
      </c>
      <c r="AH8" s="32" t="s">
        <v>280</v>
      </c>
      <c r="AI8" s="32" t="s">
        <v>281</v>
      </c>
      <c r="AJ8" s="32" t="s">
        <v>282</v>
      </c>
      <c r="AK8" s="132">
        <v>2020</v>
      </c>
      <c r="AL8" s="32" t="s">
        <v>301</v>
      </c>
      <c r="AM8" s="32" t="s">
        <v>304</v>
      </c>
      <c r="AN8" s="32" t="s">
        <v>309</v>
      </c>
      <c r="AO8" s="161" t="s">
        <v>312</v>
      </c>
      <c r="AP8" s="132">
        <v>2021</v>
      </c>
      <c r="AQ8" s="32" t="s">
        <v>317</v>
      </c>
      <c r="AR8" s="32" t="s">
        <v>328</v>
      </c>
      <c r="AS8" s="32" t="s">
        <v>348</v>
      </c>
      <c r="AT8" s="32" t="s">
        <v>349</v>
      </c>
      <c r="AU8" s="132">
        <v>2022</v>
      </c>
      <c r="AV8" s="32" t="s">
        <v>359</v>
      </c>
      <c r="AW8" s="32" t="s">
        <v>380</v>
      </c>
      <c r="AX8" s="32" t="s">
        <v>389</v>
      </c>
      <c r="AY8" s="32" t="s">
        <v>391</v>
      </c>
      <c r="AZ8" s="132">
        <v>2023</v>
      </c>
      <c r="BA8" s="32" t="s">
        <v>403</v>
      </c>
      <c r="BB8" s="32" t="s">
        <v>405</v>
      </c>
      <c r="BC8" s="32" t="s">
        <v>406</v>
      </c>
      <c r="BD8" s="32" t="s">
        <v>413</v>
      </c>
      <c r="BE8" s="132">
        <v>2024</v>
      </c>
      <c r="BF8" s="32" t="s">
        <v>414</v>
      </c>
      <c r="BG8" s="32" t="s">
        <v>437</v>
      </c>
      <c r="BH8" s="32" t="s">
        <v>438</v>
      </c>
      <c r="BI8" s="32" t="s">
        <v>443</v>
      </c>
      <c r="BJ8" s="132">
        <v>2025</v>
      </c>
    </row>
    <row r="9" spans="1:62" s="23" customFormat="1" ht="12.5" thickTop="1" x14ac:dyDescent="0.3">
      <c r="B9" s="25" t="s">
        <v>57</v>
      </c>
      <c r="C9" s="26"/>
      <c r="D9" s="26">
        <v>2018.5</v>
      </c>
      <c r="E9" s="26">
        <v>2806.7</v>
      </c>
      <c r="F9" s="26">
        <v>2878.4</v>
      </c>
      <c r="G9" s="26"/>
      <c r="H9" s="26">
        <v>2914.1</v>
      </c>
      <c r="I9" s="26">
        <v>2994.6</v>
      </c>
      <c r="J9" s="26">
        <v>3035.3890000000001</v>
      </c>
      <c r="K9" s="26">
        <v>3142.8027629782609</v>
      </c>
      <c r="L9" s="26">
        <f>AVERAGE(H9:K9)</f>
        <v>3021.7229407445652</v>
      </c>
      <c r="M9" s="26">
        <v>3199.5254845384616</v>
      </c>
      <c r="N9" s="26">
        <v>3210.0233302307693</v>
      </c>
      <c r="O9" s="26">
        <v>3220.9007510000001</v>
      </c>
      <c r="P9" s="26">
        <v>3239.3524349999998</v>
      </c>
      <c r="Q9" s="26">
        <f>AVERAGE(M9:P9)</f>
        <v>3217.450500192308</v>
      </c>
      <c r="R9" s="26">
        <v>3249.30575</v>
      </c>
      <c r="S9" s="26">
        <v>3271.8490489450551</v>
      </c>
      <c r="T9" s="26">
        <v>3324.9705100430106</v>
      </c>
      <c r="U9" s="26">
        <v>3745.1946666847825</v>
      </c>
      <c r="V9" s="26">
        <f>AVERAGE(R9:U9)</f>
        <v>3397.8299939182125</v>
      </c>
      <c r="W9" s="26">
        <v>3960.0190261666667</v>
      </c>
      <c r="X9" s="26">
        <v>3948.495103714286</v>
      </c>
      <c r="Y9" s="26">
        <v>3935.6957511739129</v>
      </c>
      <c r="Z9" s="26">
        <v>3898.7591936086956</v>
      </c>
      <c r="AA9" s="26">
        <f>AVERAGE(W9:Z9)</f>
        <v>3935.7422686658902</v>
      </c>
      <c r="AB9" s="26">
        <v>3890.1144260000001</v>
      </c>
      <c r="AC9" s="26">
        <v>3890.1144260000001</v>
      </c>
      <c r="AD9" s="26">
        <v>3914.9490892608696</v>
      </c>
      <c r="AE9" s="26">
        <v>3928.1942429999999</v>
      </c>
      <c r="AF9" s="26">
        <f>AVERAGE(AB9:AE9)</f>
        <v>3905.8430460652175</v>
      </c>
      <c r="AG9" s="26">
        <v>3928.1942429999999</v>
      </c>
      <c r="AH9" s="26">
        <v>3928.1942429999999</v>
      </c>
      <c r="AI9" s="26">
        <v>3911.8463247282612</v>
      </c>
      <c r="AJ9" s="26">
        <v>3869.4407635434786</v>
      </c>
      <c r="AK9" s="26">
        <v>3869.4407635434786</v>
      </c>
      <c r="AL9" s="26">
        <v>3842.7413246666665</v>
      </c>
      <c r="AM9" s="26">
        <v>3803.9114164505495</v>
      </c>
      <c r="AN9" s="26">
        <v>3800.7319665543482</v>
      </c>
      <c r="AO9" s="162">
        <v>3799.9999990000001</v>
      </c>
      <c r="AP9" s="162">
        <v>3799.9999990000001</v>
      </c>
      <c r="AQ9" s="26">
        <v>3783.5693909444449</v>
      </c>
      <c r="AR9" s="26">
        <v>3784.0325529340657</v>
      </c>
      <c r="AS9" s="26">
        <v>3782.9274239673914</v>
      </c>
      <c r="AT9" s="26">
        <v>3779</v>
      </c>
      <c r="AU9" s="162">
        <f>AT9</f>
        <v>3779</v>
      </c>
      <c r="AV9" s="26">
        <v>3779</v>
      </c>
      <c r="AW9" s="26">
        <v>3790.8126695604396</v>
      </c>
      <c r="AX9" s="26">
        <v>3807.288235</v>
      </c>
      <c r="AY9" s="26">
        <v>3807.288235</v>
      </c>
      <c r="AZ9" s="162">
        <v>3807.288235</v>
      </c>
      <c r="BA9" s="162">
        <v>3807.288235</v>
      </c>
      <c r="BB9" s="162">
        <v>3810.2</v>
      </c>
      <c r="BC9" s="162">
        <v>3814.4580639999999</v>
      </c>
      <c r="BD9" s="26">
        <v>3814.4580639999999</v>
      </c>
      <c r="BE9" s="162">
        <v>3814.4580639999999</v>
      </c>
      <c r="BF9" s="162">
        <v>3808.6486753888889</v>
      </c>
      <c r="BG9" s="162">
        <v>3805.3196480000001</v>
      </c>
      <c r="BH9" s="162">
        <v>3805.3196480000001</v>
      </c>
      <c r="BI9" s="162">
        <v>3809.7228599999999</v>
      </c>
      <c r="BJ9" s="162">
        <v>3809.7228599999999</v>
      </c>
    </row>
    <row r="10" spans="1:62" s="23" customFormat="1" ht="12.5" thickBot="1" x14ac:dyDescent="0.35">
      <c r="B10" s="27" t="s">
        <v>425</v>
      </c>
      <c r="C10" s="28">
        <v>2777</v>
      </c>
      <c r="D10" s="28">
        <v>2777</v>
      </c>
      <c r="E10" s="28">
        <v>2878.4</v>
      </c>
      <c r="F10" s="28">
        <v>2878.4</v>
      </c>
      <c r="G10" s="28">
        <f>F10</f>
        <v>2878.4</v>
      </c>
      <c r="H10" s="28">
        <v>2988.8</v>
      </c>
      <c r="I10" s="28">
        <v>3030.2</v>
      </c>
      <c r="J10" s="28">
        <v>3040.3403910000002</v>
      </c>
      <c r="K10" s="28">
        <v>3197.5791380000001</v>
      </c>
      <c r="L10" s="28">
        <f>K10</f>
        <v>3197.5791380000001</v>
      </c>
      <c r="M10" s="28">
        <v>3202.639639</v>
      </c>
      <c r="N10" s="28">
        <v>3220.9007510000001</v>
      </c>
      <c r="O10" s="28">
        <v>3220.9007510000001</v>
      </c>
      <c r="P10" s="28">
        <v>3249.30575</v>
      </c>
      <c r="Q10" s="28">
        <f>P10</f>
        <v>3249.30575</v>
      </c>
      <c r="R10" s="28">
        <v>3249.30575</v>
      </c>
      <c r="S10" s="28">
        <v>3289.543506</v>
      </c>
      <c r="T10" s="28">
        <v>3326.9834080000001</v>
      </c>
      <c r="U10" s="28">
        <v>3956.7765509999999</v>
      </c>
      <c r="V10" s="28">
        <f>U10</f>
        <v>3956.7765509999999</v>
      </c>
      <c r="W10" s="28">
        <v>3964.2591860000002</v>
      </c>
      <c r="X10" s="28">
        <v>3938.3047769999998</v>
      </c>
      <c r="Y10" s="28">
        <v>3925.3239699999999</v>
      </c>
      <c r="Z10" s="28">
        <v>3890.1144260000001</v>
      </c>
      <c r="AA10" s="28">
        <f>Z10</f>
        <v>3890.1144260000001</v>
      </c>
      <c r="AB10" s="28">
        <v>3890.1144260000001</v>
      </c>
      <c r="AC10" s="28">
        <v>3890.1144260000001</v>
      </c>
      <c r="AD10" s="28">
        <v>3928.1942429999999</v>
      </c>
      <c r="AE10" s="28">
        <v>3928.1942429999999</v>
      </c>
      <c r="AF10" s="28">
        <f>AE10</f>
        <v>3928.1942429999999</v>
      </c>
      <c r="AG10" s="28">
        <v>3928.1942429999999</v>
      </c>
      <c r="AH10" s="28">
        <v>3928.1942429999999</v>
      </c>
      <c r="AI10" s="28">
        <v>3874.4668230000002</v>
      </c>
      <c r="AJ10" s="28">
        <v>3872.415403</v>
      </c>
      <c r="AK10" s="28">
        <v>3872.415403</v>
      </c>
      <c r="AL10" s="28">
        <v>3818.0729160000001</v>
      </c>
      <c r="AM10" s="28">
        <v>3799.9999990000001</v>
      </c>
      <c r="AN10" s="28">
        <v>3799.9999990000001</v>
      </c>
      <c r="AO10" s="28">
        <v>3799.9999990000001</v>
      </c>
      <c r="AP10" s="28">
        <v>3799.9999990000001</v>
      </c>
      <c r="AQ10" s="28">
        <v>3779</v>
      </c>
      <c r="AR10" s="28">
        <v>3801.3820930000002</v>
      </c>
      <c r="AS10" s="28">
        <v>3779</v>
      </c>
      <c r="AT10" s="28">
        <v>3779</v>
      </c>
      <c r="AU10" s="28">
        <f>AT10</f>
        <v>3779</v>
      </c>
      <c r="AV10" s="28">
        <v>3779</v>
      </c>
      <c r="AW10" s="28">
        <v>3807.288235</v>
      </c>
      <c r="AX10" s="28">
        <v>3807.288235</v>
      </c>
      <c r="AY10" s="28">
        <v>3807.288235</v>
      </c>
      <c r="AZ10" s="28">
        <v>3807.288235</v>
      </c>
      <c r="BA10" s="28">
        <v>3807.288235</v>
      </c>
      <c r="BB10" s="28">
        <v>3814.4</v>
      </c>
      <c r="BC10" s="28">
        <v>3814.4580639999999</v>
      </c>
      <c r="BD10" s="28">
        <v>3808.9867239999999</v>
      </c>
      <c r="BE10" s="188">
        <v>3808.9867239999999</v>
      </c>
      <c r="BF10" s="28">
        <v>3805.3196480000001</v>
      </c>
      <c r="BG10" s="28">
        <v>3805.3196480000001</v>
      </c>
      <c r="BH10" s="189">
        <v>3810.649852</v>
      </c>
      <c r="BI10" s="189">
        <v>3810.649852</v>
      </c>
      <c r="BJ10" s="188">
        <v>3810.649852</v>
      </c>
    </row>
    <row r="11" spans="1:62" x14ac:dyDescent="0.35">
      <c r="B11" s="23" t="s">
        <v>56</v>
      </c>
    </row>
    <row r="12" spans="1:62" x14ac:dyDescent="0.35">
      <c r="B12" s="23" t="s">
        <v>426</v>
      </c>
    </row>
    <row r="13" spans="1:62" x14ac:dyDescent="0.35">
      <c r="B13" s="23" t="s">
        <v>392</v>
      </c>
    </row>
  </sheetData>
  <hyperlinks>
    <hyperlink ref="A1" location="Índice!A1" display="Regreso al índice" xr:uid="{7D21EC03-9FBF-4191-9EB8-0A89F07C67EC}"/>
  </hyperlink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C4E2DE-7B2A-4277-A3CB-ACB559251BA1}">
  <dimension ref="A1:EV13"/>
  <sheetViews>
    <sheetView workbookViewId="0">
      <pane xSplit="3" topLeftCell="EH1" activePane="topRight" state="frozen"/>
      <selection pane="topRight" activeCell="EV2" sqref="EV2"/>
    </sheetView>
  </sheetViews>
  <sheetFormatPr baseColWidth="10" defaultColWidth="9" defaultRowHeight="14.5" x14ac:dyDescent="0.35"/>
  <cols>
    <col min="1" max="1" width="3.453125" style="1" customWidth="1"/>
    <col min="2" max="3" width="9" style="1"/>
    <col min="4" max="4" width="12.453125" style="1" hidden="1" customWidth="1"/>
    <col min="5" max="6" width="0" style="1" hidden="1" customWidth="1"/>
    <col min="7" max="7" width="12.1796875" style="1" hidden="1" customWidth="1"/>
    <col min="8" max="8" width="1" style="1" hidden="1" customWidth="1"/>
    <col min="9" max="9" width="12.453125" style="1" hidden="1" customWidth="1"/>
    <col min="10" max="11" width="0" style="1" hidden="1" customWidth="1"/>
    <col min="12" max="12" width="12.1796875" style="1" hidden="1" customWidth="1"/>
    <col min="13" max="13" width="1" style="1" hidden="1" customWidth="1"/>
    <col min="14" max="14" width="12.453125" style="1" hidden="1" customWidth="1"/>
    <col min="15" max="16" width="0" style="1" hidden="1" customWidth="1"/>
    <col min="17" max="17" width="12.1796875" style="1" hidden="1" customWidth="1"/>
    <col min="18" max="18" width="1" style="1" hidden="1" customWidth="1"/>
    <col min="19" max="19" width="12.453125" style="1" hidden="1" customWidth="1"/>
    <col min="20" max="21" width="0" style="1" hidden="1" customWidth="1"/>
    <col min="22" max="22" width="12.1796875" style="1" hidden="1" customWidth="1"/>
    <col min="23" max="23" width="1" style="1" hidden="1" customWidth="1"/>
    <col min="24" max="24" width="12.453125" style="1" hidden="1" customWidth="1"/>
    <col min="25" max="26" width="0" style="1" hidden="1" customWidth="1"/>
    <col min="27" max="27" width="12.1796875" style="1" hidden="1" customWidth="1"/>
    <col min="28" max="28" width="1" style="1" hidden="1" customWidth="1"/>
    <col min="29" max="29" width="12.453125" style="1" hidden="1" customWidth="1"/>
    <col min="30" max="31" width="0" style="1" hidden="1" customWidth="1"/>
    <col min="32" max="32" width="12.1796875" style="1" hidden="1" customWidth="1"/>
    <col min="33" max="33" width="1" style="1" customWidth="1"/>
    <col min="34" max="34" width="12.453125" style="1" customWidth="1"/>
    <col min="35" max="36" width="9" style="1" customWidth="1"/>
    <col min="37" max="37" width="12.1796875" style="1" customWidth="1"/>
    <col min="38" max="38" width="1" style="1" customWidth="1"/>
    <col min="39" max="39" width="12.453125" style="1" customWidth="1"/>
    <col min="40" max="41" width="9" style="1"/>
    <col min="42" max="42" width="12.1796875" style="1" customWidth="1"/>
    <col min="43" max="43" width="1" style="1" customWidth="1"/>
    <col min="44" max="44" width="12.453125" style="1" customWidth="1"/>
    <col min="45" max="46" width="9" style="1"/>
    <col min="47" max="47" width="12.1796875" style="1" customWidth="1"/>
    <col min="48" max="48" width="1" style="1" customWidth="1"/>
    <col min="49" max="49" width="12.453125" style="1" customWidth="1"/>
    <col min="50" max="51" width="9" style="1"/>
    <col min="52" max="52" width="12.1796875" style="1" customWidth="1"/>
    <col min="53" max="53" width="1" style="1" customWidth="1"/>
    <col min="54" max="54" width="12.453125" style="1" customWidth="1"/>
    <col min="55" max="56" width="9" style="1"/>
    <col min="57" max="57" width="12.1796875" style="1" customWidth="1"/>
    <col min="58" max="58" width="1" style="1" customWidth="1"/>
    <col min="59" max="59" width="12.453125" style="1" customWidth="1"/>
    <col min="60" max="61" width="9" style="1"/>
    <col min="62" max="62" width="12.1796875" style="1" customWidth="1"/>
    <col min="63" max="63" width="1" style="1" customWidth="1"/>
    <col min="64" max="64" width="12.453125" style="1" customWidth="1"/>
    <col min="65" max="66" width="9" style="1"/>
    <col min="67" max="67" width="12.1796875" style="1" customWidth="1"/>
    <col min="68" max="68" width="1" style="1" customWidth="1"/>
    <col min="69" max="69" width="12.453125" style="1" customWidth="1"/>
    <col min="70" max="71" width="9" style="1"/>
    <col min="72" max="72" width="12.1796875" style="1" customWidth="1"/>
    <col min="73" max="73" width="1" style="1" customWidth="1"/>
    <col min="74" max="74" width="12.453125" style="1" customWidth="1"/>
    <col min="75" max="76" width="9" style="1"/>
    <col min="77" max="77" width="12.1796875" style="1" customWidth="1"/>
    <col min="78" max="78" width="1" style="1" customWidth="1"/>
    <col min="79" max="79" width="12.453125" style="1" customWidth="1"/>
    <col min="80" max="81" width="9" style="1"/>
    <col min="82" max="82" width="12.1796875" style="1" customWidth="1"/>
    <col min="83" max="83" width="1" style="1" customWidth="1"/>
    <col min="84" max="84" width="12.453125" style="1" customWidth="1"/>
    <col min="85" max="86" width="9" style="1"/>
    <col min="87" max="87" width="12.1796875" style="1" customWidth="1"/>
    <col min="88" max="88" width="1" style="1" customWidth="1"/>
    <col min="89" max="89" width="12.453125" style="1" customWidth="1"/>
    <col min="90" max="91" width="9" style="1"/>
    <col min="92" max="92" width="12.1796875" style="1" customWidth="1"/>
    <col min="93" max="93" width="1" style="1" customWidth="1"/>
    <col min="94" max="94" width="12.81640625" style="1" customWidth="1"/>
    <col min="95" max="96" width="9" style="1"/>
    <col min="97" max="97" width="12.1796875" style="1" customWidth="1"/>
    <col min="98" max="98" width="1" style="1" customWidth="1"/>
    <col min="99" max="99" width="13.1796875" style="1" customWidth="1"/>
    <col min="100" max="101" width="9" style="1"/>
    <col min="102" max="102" width="12.1796875" style="1" customWidth="1"/>
    <col min="103" max="103" width="1" style="1" customWidth="1"/>
    <col min="104" max="104" width="13.1796875" style="1" customWidth="1"/>
    <col min="105" max="106" width="9" style="1"/>
    <col min="107" max="107" width="12.1796875" style="1" customWidth="1"/>
    <col min="108" max="108" width="1" style="1" customWidth="1"/>
    <col min="109" max="109" width="13.1796875" style="1" customWidth="1"/>
    <col min="110" max="111" width="9" style="1"/>
    <col min="112" max="112" width="12.1796875" style="1" customWidth="1"/>
    <col min="113" max="113" width="1" style="1" customWidth="1"/>
    <col min="114" max="115" width="9" style="1"/>
    <col min="116" max="116" width="10.54296875" style="1" bestFit="1" customWidth="1"/>
    <col min="117" max="117" width="9" style="1"/>
    <col min="118" max="118" width="1" style="1" customWidth="1"/>
    <col min="119" max="120" width="9" style="1"/>
    <col min="121" max="121" width="10.54296875" style="1" bestFit="1" customWidth="1"/>
    <col min="122" max="122" width="9" style="1"/>
    <col min="123" max="123" width="1" style="1" customWidth="1"/>
    <col min="124" max="125" width="9" style="1"/>
    <col min="126" max="126" width="10.54296875" style="1" bestFit="1" customWidth="1"/>
    <col min="127" max="127" width="9" style="1"/>
    <col min="128" max="128" width="1" style="1" customWidth="1"/>
    <col min="129" max="130" width="9" style="1"/>
    <col min="131" max="131" width="10.54296875" style="1" bestFit="1" customWidth="1"/>
    <col min="132" max="132" width="9" style="1"/>
    <col min="133" max="133" width="1" style="1" customWidth="1"/>
    <col min="134" max="135" width="9" style="1"/>
    <col min="136" max="136" width="10.54296875" style="1" bestFit="1" customWidth="1"/>
    <col min="137" max="137" width="9" style="1" customWidth="1"/>
    <col min="138" max="138" width="1" style="1" customWidth="1"/>
    <col min="139" max="140" width="9" style="1"/>
    <col min="141" max="141" width="10.54296875" style="1" bestFit="1" customWidth="1"/>
    <col min="142" max="142" width="9" style="1"/>
    <col min="143" max="143" width="1" style="1" customWidth="1"/>
    <col min="144" max="145" width="9" style="1"/>
    <col min="146" max="146" width="10.54296875" style="1" bestFit="1" customWidth="1"/>
    <col min="147" max="147" width="9" style="1"/>
    <col min="148" max="148" width="1" style="1" customWidth="1"/>
    <col min="149" max="150" width="9" style="1"/>
    <col min="151" max="151" width="11.90625" style="1" customWidth="1"/>
    <col min="152" max="16384" width="9" style="1"/>
  </cols>
  <sheetData>
    <row r="1" spans="1:152" x14ac:dyDescent="0.35">
      <c r="A1" s="130" t="s">
        <v>252</v>
      </c>
    </row>
    <row r="2" spans="1:152" ht="15" thickBot="1" x14ac:dyDescent="0.4"/>
    <row r="3" spans="1:152" x14ac:dyDescent="0.35">
      <c r="B3" s="16"/>
      <c r="C3" s="16"/>
      <c r="D3" s="192" t="s">
        <v>5</v>
      </c>
      <c r="E3" s="192"/>
      <c r="F3" s="192"/>
      <c r="G3" s="192"/>
      <c r="H3" s="17"/>
      <c r="I3" s="192" t="s">
        <v>4</v>
      </c>
      <c r="J3" s="192"/>
      <c r="K3" s="192"/>
      <c r="L3" s="192"/>
      <c r="M3" s="17"/>
      <c r="N3" s="192" t="s">
        <v>3</v>
      </c>
      <c r="O3" s="192"/>
      <c r="P3" s="192"/>
      <c r="Q3" s="192"/>
      <c r="R3" s="17"/>
      <c r="S3" s="192" t="s">
        <v>2</v>
      </c>
      <c r="T3" s="192"/>
      <c r="U3" s="192"/>
      <c r="V3" s="192"/>
      <c r="W3" s="17"/>
      <c r="X3" s="192" t="s">
        <v>1</v>
      </c>
      <c r="Y3" s="192"/>
      <c r="Z3" s="192"/>
      <c r="AA3" s="192"/>
      <c r="AB3" s="17"/>
      <c r="AC3" s="192" t="s">
        <v>45</v>
      </c>
      <c r="AD3" s="192"/>
      <c r="AE3" s="192"/>
      <c r="AF3" s="192"/>
      <c r="AG3" s="17"/>
      <c r="AH3" s="192" t="s">
        <v>283</v>
      </c>
      <c r="AI3" s="192"/>
      <c r="AJ3" s="192"/>
      <c r="AK3" s="192"/>
      <c r="AL3" s="17"/>
      <c r="AM3" s="192" t="s">
        <v>284</v>
      </c>
      <c r="AN3" s="192"/>
      <c r="AO3" s="192"/>
      <c r="AP3" s="192"/>
      <c r="AQ3" s="17"/>
      <c r="AR3" s="192" t="s">
        <v>285</v>
      </c>
      <c r="AS3" s="192"/>
      <c r="AT3" s="192"/>
      <c r="AU3" s="192"/>
      <c r="AV3" s="17"/>
      <c r="AW3" s="192" t="s">
        <v>286</v>
      </c>
      <c r="AX3" s="192"/>
      <c r="AY3" s="192"/>
      <c r="AZ3" s="192"/>
      <c r="BA3" s="17"/>
      <c r="BB3" s="192" t="s">
        <v>302</v>
      </c>
      <c r="BC3" s="192"/>
      <c r="BD3" s="192"/>
      <c r="BE3" s="192"/>
      <c r="BF3" s="17"/>
      <c r="BG3" s="192" t="s">
        <v>305</v>
      </c>
      <c r="BH3" s="192"/>
      <c r="BI3" s="192"/>
      <c r="BJ3" s="192"/>
      <c r="BK3" s="17"/>
      <c r="BL3" s="192" t="s">
        <v>310</v>
      </c>
      <c r="BM3" s="192"/>
      <c r="BN3" s="192"/>
      <c r="BO3" s="192"/>
      <c r="BP3" s="17"/>
      <c r="BQ3" s="192" t="s">
        <v>313</v>
      </c>
      <c r="BR3" s="192"/>
      <c r="BS3" s="192"/>
      <c r="BT3" s="192"/>
      <c r="BU3" s="17"/>
      <c r="BV3" s="192" t="s">
        <v>318</v>
      </c>
      <c r="BW3" s="192"/>
      <c r="BX3" s="192"/>
      <c r="BY3" s="192"/>
      <c r="BZ3" s="17"/>
      <c r="CA3" s="192" t="s">
        <v>329</v>
      </c>
      <c r="CB3" s="192"/>
      <c r="CC3" s="192"/>
      <c r="CD3" s="192"/>
      <c r="CE3" s="17"/>
      <c r="CF3" s="192" t="s">
        <v>332</v>
      </c>
      <c r="CG3" s="192"/>
      <c r="CH3" s="192"/>
      <c r="CI3" s="192"/>
      <c r="CJ3" s="17"/>
      <c r="CK3" s="192" t="s">
        <v>350</v>
      </c>
      <c r="CL3" s="192"/>
      <c r="CM3" s="192"/>
      <c r="CN3" s="192"/>
      <c r="CO3" s="17"/>
      <c r="CP3" s="192" t="s">
        <v>361</v>
      </c>
      <c r="CQ3" s="192"/>
      <c r="CR3" s="192"/>
      <c r="CS3" s="192"/>
      <c r="CT3" s="17"/>
      <c r="CU3" s="192" t="s">
        <v>363</v>
      </c>
      <c r="CV3" s="192"/>
      <c r="CW3" s="192"/>
      <c r="CX3" s="192"/>
      <c r="CY3" s="17"/>
      <c r="CZ3" s="192" t="s">
        <v>364</v>
      </c>
      <c r="DA3" s="192"/>
      <c r="DB3" s="192"/>
      <c r="DC3" s="192"/>
      <c r="DD3" s="17"/>
      <c r="DE3" s="192" t="s">
        <v>365</v>
      </c>
      <c r="DF3" s="192"/>
      <c r="DG3" s="192"/>
      <c r="DH3" s="192"/>
      <c r="DI3" s="17"/>
      <c r="DJ3" s="192" t="s">
        <v>395</v>
      </c>
      <c r="DK3" s="192"/>
      <c r="DL3" s="192"/>
      <c r="DM3" s="192"/>
      <c r="DN3" s="17"/>
      <c r="DO3" s="192" t="s">
        <v>396</v>
      </c>
      <c r="DP3" s="192"/>
      <c r="DQ3" s="192"/>
      <c r="DR3" s="192"/>
      <c r="DS3" s="17"/>
      <c r="DT3" s="192" t="s">
        <v>397</v>
      </c>
      <c r="DU3" s="192"/>
      <c r="DV3" s="192"/>
      <c r="DW3" s="192"/>
      <c r="DX3" s="17"/>
      <c r="DY3" s="192" t="s">
        <v>398</v>
      </c>
      <c r="DZ3" s="192"/>
      <c r="EA3" s="192"/>
      <c r="EB3" s="192"/>
      <c r="EC3" s="17"/>
      <c r="ED3" s="192" t="s">
        <v>415</v>
      </c>
      <c r="EE3" s="192"/>
      <c r="EF3" s="192"/>
      <c r="EG3" s="192"/>
      <c r="EI3" s="192" t="s">
        <v>417</v>
      </c>
      <c r="EJ3" s="192"/>
      <c r="EK3" s="192"/>
      <c r="EL3" s="192"/>
      <c r="EN3" s="192" t="s">
        <v>418</v>
      </c>
      <c r="EO3" s="192"/>
      <c r="EP3" s="192"/>
      <c r="EQ3" s="192"/>
      <c r="ES3" s="192" t="s">
        <v>420</v>
      </c>
      <c r="ET3" s="192"/>
      <c r="EU3" s="192"/>
      <c r="EV3" s="192"/>
    </row>
    <row r="4" spans="1:152" ht="39" x14ac:dyDescent="0.35">
      <c r="B4" s="9" t="s">
        <v>31</v>
      </c>
      <c r="C4" s="9" t="s">
        <v>32</v>
      </c>
      <c r="D4" s="9" t="s">
        <v>36</v>
      </c>
      <c r="E4" s="9" t="s">
        <v>35</v>
      </c>
      <c r="F4" s="9" t="s">
        <v>38</v>
      </c>
      <c r="G4" s="9" t="s">
        <v>37</v>
      </c>
      <c r="H4" s="18"/>
      <c r="I4" s="9" t="s">
        <v>36</v>
      </c>
      <c r="J4" s="9" t="s">
        <v>35</v>
      </c>
      <c r="K4" s="9" t="s">
        <v>38</v>
      </c>
      <c r="L4" s="9" t="s">
        <v>37</v>
      </c>
      <c r="M4" s="18"/>
      <c r="N4" s="9" t="s">
        <v>36</v>
      </c>
      <c r="O4" s="9" t="s">
        <v>35</v>
      </c>
      <c r="P4" s="9" t="s">
        <v>38</v>
      </c>
      <c r="Q4" s="9" t="s">
        <v>37</v>
      </c>
      <c r="R4" s="18"/>
      <c r="S4" s="9" t="s">
        <v>36</v>
      </c>
      <c r="T4" s="9" t="s">
        <v>35</v>
      </c>
      <c r="U4" s="9" t="s">
        <v>38</v>
      </c>
      <c r="V4" s="9" t="s">
        <v>37</v>
      </c>
      <c r="W4" s="18"/>
      <c r="X4" s="9" t="s">
        <v>36</v>
      </c>
      <c r="Y4" s="9" t="s">
        <v>35</v>
      </c>
      <c r="Z4" s="9" t="s">
        <v>38</v>
      </c>
      <c r="AA4" s="9" t="s">
        <v>37</v>
      </c>
      <c r="AB4" s="18"/>
      <c r="AC4" s="9" t="s">
        <v>36</v>
      </c>
      <c r="AD4" s="9" t="s">
        <v>35</v>
      </c>
      <c r="AE4" s="9" t="s">
        <v>38</v>
      </c>
      <c r="AF4" s="9" t="s">
        <v>37</v>
      </c>
      <c r="AG4" s="18"/>
      <c r="AH4" s="9" t="s">
        <v>36</v>
      </c>
      <c r="AI4" s="9" t="s">
        <v>35</v>
      </c>
      <c r="AJ4" s="9" t="s">
        <v>38</v>
      </c>
      <c r="AK4" s="9" t="s">
        <v>37</v>
      </c>
      <c r="AL4" s="18"/>
      <c r="AM4" s="9" t="s">
        <v>36</v>
      </c>
      <c r="AN4" s="9" t="s">
        <v>35</v>
      </c>
      <c r="AO4" s="9" t="s">
        <v>38</v>
      </c>
      <c r="AP4" s="9" t="s">
        <v>37</v>
      </c>
      <c r="AQ4" s="18"/>
      <c r="AR4" s="9" t="s">
        <v>36</v>
      </c>
      <c r="AS4" s="9" t="s">
        <v>35</v>
      </c>
      <c r="AT4" s="9" t="s">
        <v>38</v>
      </c>
      <c r="AU4" s="9" t="s">
        <v>37</v>
      </c>
      <c r="AV4" s="18"/>
      <c r="AW4" s="9" t="s">
        <v>36</v>
      </c>
      <c r="AX4" s="9" t="s">
        <v>35</v>
      </c>
      <c r="AY4" s="9" t="s">
        <v>38</v>
      </c>
      <c r="AZ4" s="9" t="s">
        <v>37</v>
      </c>
      <c r="BA4" s="18"/>
      <c r="BB4" s="9" t="s">
        <v>36</v>
      </c>
      <c r="BC4" s="9" t="s">
        <v>35</v>
      </c>
      <c r="BD4" s="9" t="s">
        <v>38</v>
      </c>
      <c r="BE4" s="9" t="s">
        <v>37</v>
      </c>
      <c r="BF4" s="18"/>
      <c r="BG4" s="9" t="s">
        <v>36</v>
      </c>
      <c r="BH4" s="9" t="s">
        <v>35</v>
      </c>
      <c r="BI4" s="9" t="s">
        <v>38</v>
      </c>
      <c r="BJ4" s="9" t="s">
        <v>37</v>
      </c>
      <c r="BK4" s="18"/>
      <c r="BL4" s="9" t="s">
        <v>36</v>
      </c>
      <c r="BM4" s="9" t="s">
        <v>35</v>
      </c>
      <c r="BN4" s="9" t="s">
        <v>38</v>
      </c>
      <c r="BO4" s="9" t="s">
        <v>37</v>
      </c>
      <c r="BP4" s="18"/>
      <c r="BQ4" s="9" t="s">
        <v>36</v>
      </c>
      <c r="BR4" s="9" t="s">
        <v>35</v>
      </c>
      <c r="BS4" s="9" t="s">
        <v>38</v>
      </c>
      <c r="BT4" s="9" t="s">
        <v>37</v>
      </c>
      <c r="BU4" s="18"/>
      <c r="BV4" s="9" t="s">
        <v>36</v>
      </c>
      <c r="BW4" s="9" t="s">
        <v>35</v>
      </c>
      <c r="BX4" s="9" t="s">
        <v>38</v>
      </c>
      <c r="BY4" s="9" t="s">
        <v>37</v>
      </c>
      <c r="BZ4" s="18"/>
      <c r="CA4" s="9" t="s">
        <v>36</v>
      </c>
      <c r="CB4" s="9" t="s">
        <v>35</v>
      </c>
      <c r="CC4" s="9" t="s">
        <v>38</v>
      </c>
      <c r="CD4" s="9" t="s">
        <v>37</v>
      </c>
      <c r="CE4" s="18"/>
      <c r="CF4" s="9" t="s">
        <v>36</v>
      </c>
      <c r="CG4" s="9" t="s">
        <v>35</v>
      </c>
      <c r="CH4" s="9" t="s">
        <v>38</v>
      </c>
      <c r="CI4" s="9" t="s">
        <v>37</v>
      </c>
      <c r="CJ4" s="18"/>
      <c r="CK4" s="9" t="s">
        <v>36</v>
      </c>
      <c r="CL4" s="9" t="s">
        <v>35</v>
      </c>
      <c r="CM4" s="9" t="s">
        <v>38</v>
      </c>
      <c r="CN4" s="9" t="s">
        <v>37</v>
      </c>
      <c r="CO4" s="18"/>
      <c r="CP4" s="9" t="s">
        <v>36</v>
      </c>
      <c r="CQ4" s="9" t="s">
        <v>35</v>
      </c>
      <c r="CR4" s="9" t="s">
        <v>38</v>
      </c>
      <c r="CS4" s="9" t="s">
        <v>37</v>
      </c>
      <c r="CT4" s="18"/>
      <c r="CU4" s="9" t="s">
        <v>36</v>
      </c>
      <c r="CV4" s="9" t="s">
        <v>35</v>
      </c>
      <c r="CW4" s="9" t="s">
        <v>38</v>
      </c>
      <c r="CX4" s="9" t="s">
        <v>37</v>
      </c>
      <c r="CY4" s="18"/>
      <c r="CZ4" s="9" t="s">
        <v>36</v>
      </c>
      <c r="DA4" s="9" t="s">
        <v>35</v>
      </c>
      <c r="DB4" s="9" t="s">
        <v>38</v>
      </c>
      <c r="DC4" s="9" t="s">
        <v>390</v>
      </c>
      <c r="DD4" s="18"/>
      <c r="DE4" s="9" t="s">
        <v>36</v>
      </c>
      <c r="DF4" s="9" t="s">
        <v>35</v>
      </c>
      <c r="DG4" s="9" t="s">
        <v>38</v>
      </c>
      <c r="DH4" s="9" t="s">
        <v>390</v>
      </c>
      <c r="DI4" s="18"/>
      <c r="DJ4" s="9" t="s">
        <v>36</v>
      </c>
      <c r="DK4" s="9" t="s">
        <v>35</v>
      </c>
      <c r="DL4" s="9" t="s">
        <v>38</v>
      </c>
      <c r="DM4" s="9" t="s">
        <v>390</v>
      </c>
      <c r="DN4" s="18"/>
      <c r="DO4" s="9" t="s">
        <v>36</v>
      </c>
      <c r="DP4" s="9" t="s">
        <v>35</v>
      </c>
      <c r="DQ4" s="9" t="s">
        <v>38</v>
      </c>
      <c r="DR4" s="9" t="s">
        <v>390</v>
      </c>
      <c r="DS4" s="18"/>
      <c r="DT4" s="9" t="s">
        <v>36</v>
      </c>
      <c r="DU4" s="9" t="s">
        <v>35</v>
      </c>
      <c r="DV4" s="9" t="s">
        <v>38</v>
      </c>
      <c r="DW4" s="9" t="s">
        <v>390</v>
      </c>
      <c r="DX4" s="18"/>
      <c r="DY4" s="9" t="s">
        <v>36</v>
      </c>
      <c r="DZ4" s="9" t="s">
        <v>35</v>
      </c>
      <c r="EA4" s="9" t="s">
        <v>38</v>
      </c>
      <c r="EB4" s="9" t="s">
        <v>390</v>
      </c>
      <c r="EC4" s="18"/>
      <c r="ED4" s="9" t="s">
        <v>36</v>
      </c>
      <c r="EE4" s="9" t="s">
        <v>35</v>
      </c>
      <c r="EF4" s="9" t="s">
        <v>38</v>
      </c>
      <c r="EG4" s="9" t="s">
        <v>390</v>
      </c>
      <c r="EI4" s="9" t="s">
        <v>36</v>
      </c>
      <c r="EJ4" s="9" t="s">
        <v>35</v>
      </c>
      <c r="EK4" s="9" t="s">
        <v>38</v>
      </c>
      <c r="EL4" s="9" t="s">
        <v>390</v>
      </c>
      <c r="EN4" s="9" t="s">
        <v>36</v>
      </c>
      <c r="EO4" s="9" t="s">
        <v>35</v>
      </c>
      <c r="EP4" s="9" t="s">
        <v>38</v>
      </c>
      <c r="EQ4" s="9" t="s">
        <v>390</v>
      </c>
      <c r="ES4" s="9" t="s">
        <v>36</v>
      </c>
      <c r="ET4" s="9" t="s">
        <v>35</v>
      </c>
      <c r="EU4" s="9" t="s">
        <v>446</v>
      </c>
      <c r="EV4" s="9" t="s">
        <v>390</v>
      </c>
    </row>
    <row r="5" spans="1:152" x14ac:dyDescent="0.35">
      <c r="B5" s="14" t="s">
        <v>33</v>
      </c>
      <c r="C5" s="14" t="s">
        <v>253</v>
      </c>
      <c r="D5" s="15">
        <v>1111</v>
      </c>
      <c r="E5" s="15">
        <v>150348.30999999971</v>
      </c>
      <c r="F5" s="13">
        <v>0.11474790259927471</v>
      </c>
      <c r="G5" s="13">
        <v>6.914790259927471E-2</v>
      </c>
      <c r="H5" s="13"/>
      <c r="I5" s="15">
        <v>1263</v>
      </c>
      <c r="J5" s="15">
        <v>182391.13000000012</v>
      </c>
      <c r="K5" s="13">
        <v>0.11068599934709256</v>
      </c>
      <c r="L5" s="13">
        <v>6.1685999347092554E-2</v>
      </c>
      <c r="M5" s="13"/>
      <c r="N5" s="15">
        <v>1276</v>
      </c>
      <c r="O5" s="15">
        <v>207350.51999999993</v>
      </c>
      <c r="P5" s="13">
        <v>0.11075119018896151</v>
      </c>
      <c r="Q5" s="13">
        <v>6.4840847315947414E-2</v>
      </c>
      <c r="R5" s="13"/>
      <c r="S5" s="15">
        <v>1203</v>
      </c>
      <c r="T5" s="15">
        <v>185361.54999999984</v>
      </c>
      <c r="U5" s="13">
        <v>0.11097644695232067</v>
      </c>
      <c r="V5" s="13">
        <v>6.5935272197103018E-2</v>
      </c>
      <c r="W5" s="13"/>
      <c r="X5" s="15">
        <v>1265</v>
      </c>
      <c r="Y5" s="15">
        <v>205813.63000000009</v>
      </c>
      <c r="Z5" s="13">
        <v>8.3199627063928361E-2</v>
      </c>
      <c r="AA5" s="13">
        <v>4.1199627063928358E-2</v>
      </c>
      <c r="AB5" s="13"/>
      <c r="AC5" s="15">
        <v>1219</v>
      </c>
      <c r="AD5" s="15">
        <v>175057.64999999956</v>
      </c>
      <c r="AE5" s="13">
        <v>9.5306976431884252E-2</v>
      </c>
      <c r="AF5" s="13">
        <v>5.7306976431884253E-2</v>
      </c>
      <c r="AG5" s="13"/>
      <c r="AH5" s="15">
        <v>1166</v>
      </c>
      <c r="AI5" s="15">
        <v>174190.69999999995</v>
      </c>
      <c r="AJ5" s="13">
        <v>9.0776730449721121E-2</v>
      </c>
      <c r="AK5" s="13">
        <v>5.5776730449721118E-2</v>
      </c>
      <c r="AL5" s="13"/>
      <c r="AM5" s="15">
        <v>991</v>
      </c>
      <c r="AN5" s="15">
        <v>166337.79000000056</v>
      </c>
      <c r="AO5" s="13">
        <v>8.2890017533634883E-2</v>
      </c>
      <c r="AP5" s="13">
        <v>5.1890017533634883E-2</v>
      </c>
      <c r="AQ5" s="13"/>
      <c r="AR5" s="15">
        <v>882</v>
      </c>
      <c r="AS5" s="15">
        <v>138220.31599999993</v>
      </c>
      <c r="AT5" s="13">
        <v>7.7226987938329314E-2</v>
      </c>
      <c r="AU5" s="13">
        <v>4.5226987938329313E-2</v>
      </c>
      <c r="AV5" s="13"/>
      <c r="AW5" s="15">
        <v>888</v>
      </c>
      <c r="AX5" s="15">
        <v>175238.53600000057</v>
      </c>
      <c r="AY5" s="13">
        <v>4.1775439461860915E-2</v>
      </c>
      <c r="AZ5" s="13">
        <v>7.9872854034533022E-3</v>
      </c>
      <c r="BA5" s="13"/>
      <c r="BB5" s="15">
        <v>908</v>
      </c>
      <c r="BC5" s="15">
        <v>157846.78599999985</v>
      </c>
      <c r="BD5" s="13">
        <v>3.5116511274228976E-2</v>
      </c>
      <c r="BE5" s="13">
        <v>1.1651127422897256E-4</v>
      </c>
      <c r="BF5" s="13"/>
      <c r="BG5" s="15">
        <v>1057</v>
      </c>
      <c r="BH5" s="15">
        <v>176416.59600000014</v>
      </c>
      <c r="BI5" s="13">
        <v>3.5227757165809247E-2</v>
      </c>
      <c r="BJ5" s="13">
        <v>-7.7722428341907498E-3</v>
      </c>
      <c r="BK5" s="13"/>
      <c r="BL5" s="15">
        <v>1059</v>
      </c>
      <c r="BM5" s="15">
        <v>205529.98999999982</v>
      </c>
      <c r="BN5" s="13">
        <v>4.8518777817488271E-2</v>
      </c>
      <c r="BO5" s="13">
        <v>1.1607306310781051E-3</v>
      </c>
      <c r="BP5" s="13"/>
      <c r="BQ5" s="15">
        <v>1146</v>
      </c>
      <c r="BR5" s="15">
        <v>223024.67000000057</v>
      </c>
      <c r="BS5" s="13">
        <v>5.6005400866633748E-2</v>
      </c>
      <c r="BT5" s="13">
        <v>5.4008666337465594E-6</v>
      </c>
      <c r="BU5" s="13"/>
      <c r="BV5" s="15">
        <v>1103</v>
      </c>
      <c r="BW5" s="15">
        <v>214237.38000000041</v>
      </c>
      <c r="BX5" s="13">
        <v>6.3090350378341639E-2</v>
      </c>
      <c r="BY5" s="13">
        <v>-3.9096496216583648E-3</v>
      </c>
      <c r="BZ5" s="13"/>
      <c r="CA5" s="15">
        <v>1051</v>
      </c>
      <c r="CB5" s="15">
        <v>229851.38000000091</v>
      </c>
      <c r="CC5" s="13">
        <v>6.111884956137259E-2</v>
      </c>
      <c r="CD5" s="13">
        <v>-8.381150438627416E-3</v>
      </c>
      <c r="CE5" s="13"/>
      <c r="CF5" s="170">
        <v>1106</v>
      </c>
      <c r="CG5" s="15">
        <v>250302.39000000048</v>
      </c>
      <c r="CH5" s="13">
        <v>7.1724391296525969E-2</v>
      </c>
      <c r="CI5" s="13">
        <v>-4.7756087034740297E-3</v>
      </c>
      <c r="CJ5" s="13"/>
      <c r="CK5" s="170">
        <v>1225</v>
      </c>
      <c r="CL5" s="15">
        <v>337174.2000000017</v>
      </c>
      <c r="CM5" s="13">
        <v>8.7604053731601406E-2</v>
      </c>
      <c r="CN5" s="13">
        <v>9.6040537316014057E-3</v>
      </c>
      <c r="CO5" s="13"/>
      <c r="CP5" s="170">
        <v>1173</v>
      </c>
      <c r="CQ5" s="15">
        <v>325747.20999999985</v>
      </c>
      <c r="CR5" s="13">
        <v>8.9571064279885482E-2</v>
      </c>
      <c r="CS5" s="13">
        <v>1.0810541280220978E-2</v>
      </c>
      <c r="CT5" s="13"/>
      <c r="CU5" s="170">
        <v>1121</v>
      </c>
      <c r="CV5" s="15">
        <v>280744.43600000133</v>
      </c>
      <c r="CW5" s="13">
        <v>8.9242630765741904E-2</v>
      </c>
      <c r="CX5" s="13">
        <v>1.64426307657419E-2</v>
      </c>
      <c r="CY5" s="13"/>
      <c r="CZ5" s="170">
        <v>1028</v>
      </c>
      <c r="DA5" s="15">
        <v>244957.11600000173</v>
      </c>
      <c r="DB5" s="13">
        <v>7.1475563811546294E-2</v>
      </c>
      <c r="DC5" s="13">
        <v>6.4755638115462921E-3</v>
      </c>
      <c r="DD5" s="13"/>
      <c r="DE5" s="170">
        <v>1079</v>
      </c>
      <c r="DF5" s="15">
        <v>200923.60599999988</v>
      </c>
      <c r="DG5" s="13">
        <v>6.6391249325639778E-2</v>
      </c>
      <c r="DH5" s="13">
        <v>1.2391249325639779E-2</v>
      </c>
      <c r="DI5" s="13"/>
      <c r="DJ5" s="170">
        <v>1151</v>
      </c>
      <c r="DK5" s="15">
        <v>256654.12600000211</v>
      </c>
      <c r="DL5" s="13">
        <v>7.9000000000000001E-2</v>
      </c>
      <c r="DM5" s="13">
        <v>0.03</v>
      </c>
      <c r="DN5" s="13"/>
      <c r="DO5" s="170">
        <v>1256</v>
      </c>
      <c r="DP5" s="15">
        <v>263404.77000000275</v>
      </c>
      <c r="DQ5" s="13">
        <v>7.9366085263856467E-2</v>
      </c>
      <c r="DR5" s="13">
        <v>3.3566085263856467E-2</v>
      </c>
      <c r="DS5" s="13"/>
      <c r="DT5" s="170">
        <v>1323</v>
      </c>
      <c r="DU5" s="15">
        <v>281975.39000000159</v>
      </c>
      <c r="DV5" s="13">
        <v>8.00078117414742E-2</v>
      </c>
      <c r="DW5" s="13">
        <v>3.3307811741474201E-2</v>
      </c>
      <c r="DX5" s="13"/>
      <c r="DY5" s="170">
        <v>1475</v>
      </c>
      <c r="DZ5" s="15">
        <v>278330.69000000181</v>
      </c>
      <c r="EA5" s="13">
        <v>8.2600737277928271E-2</v>
      </c>
      <c r="EB5" s="13">
        <v>3.566951285424131E-2</v>
      </c>
      <c r="EC5" s="13"/>
      <c r="ED5" s="170">
        <v>1444</v>
      </c>
      <c r="EE5" s="15">
        <v>323619.7600000024</v>
      </c>
      <c r="EF5" s="13">
        <v>7.6485630630036772E-2</v>
      </c>
      <c r="EG5" s="13">
        <v>3.1397164329743592E-2</v>
      </c>
      <c r="EI5" s="170">
        <v>1369</v>
      </c>
      <c r="EJ5" s="15">
        <v>321550.35000000225</v>
      </c>
      <c r="EK5" s="13">
        <v>6.9661274437607501E-2</v>
      </c>
      <c r="EL5" s="13">
        <v>2.7E-2</v>
      </c>
      <c r="EN5" s="170">
        <v>1059</v>
      </c>
      <c r="EO5" s="15">
        <v>237629.97000000204</v>
      </c>
      <c r="EP5" s="13">
        <v>6.1079770589631321E-2</v>
      </c>
      <c r="EQ5" s="13">
        <v>0.02</v>
      </c>
      <c r="ES5" s="170">
        <v>264</v>
      </c>
      <c r="ET5" s="15">
        <v>31099.260000000006</v>
      </c>
      <c r="EU5" s="13">
        <v>8.2111507892541624E-2</v>
      </c>
      <c r="EV5" s="13">
        <v>4.5111507892541626E-2</v>
      </c>
    </row>
    <row r="6" spans="1:152" ht="15" x14ac:dyDescent="0.35">
      <c r="B6" s="14"/>
      <c r="C6" s="14" t="s">
        <v>445</v>
      </c>
      <c r="D6" s="15">
        <v>38</v>
      </c>
      <c r="E6" s="15">
        <v>371842.54000000004</v>
      </c>
      <c r="F6" s="13">
        <v>0.11354714296034132</v>
      </c>
      <c r="G6" s="13">
        <v>6.7947142960341322E-2</v>
      </c>
      <c r="H6" s="13"/>
      <c r="I6" s="15">
        <v>39</v>
      </c>
      <c r="J6" s="15">
        <v>396044.21000000008</v>
      </c>
      <c r="K6" s="13">
        <v>0.10268028152050435</v>
      </c>
      <c r="L6" s="13">
        <v>5.3680281520504344E-2</v>
      </c>
      <c r="M6" s="13"/>
      <c r="N6" s="15">
        <v>52</v>
      </c>
      <c r="O6" s="15">
        <v>441492.74000000005</v>
      </c>
      <c r="P6" s="13">
        <v>0.11049612546894338</v>
      </c>
      <c r="Q6" s="13">
        <v>6.4585782595929286E-2</v>
      </c>
      <c r="R6" s="13"/>
      <c r="S6" s="15">
        <v>70</v>
      </c>
      <c r="T6" s="15">
        <v>554419.54</v>
      </c>
      <c r="U6" s="13">
        <v>0.12535260879054078</v>
      </c>
      <c r="V6" s="13">
        <v>8.031143403532312E-2</v>
      </c>
      <c r="W6" s="13"/>
      <c r="X6" s="15">
        <v>72</v>
      </c>
      <c r="Y6" s="15">
        <v>521279.39999999997</v>
      </c>
      <c r="Z6" s="13">
        <v>0.1237713491877972</v>
      </c>
      <c r="AA6" s="13">
        <v>8.1771349187797188E-2</v>
      </c>
      <c r="AB6" s="13"/>
      <c r="AC6" s="15">
        <v>72</v>
      </c>
      <c r="AD6" s="15">
        <v>533257.71</v>
      </c>
      <c r="AE6" s="13">
        <v>0.12426052341555048</v>
      </c>
      <c r="AF6" s="13">
        <v>8.6260523415550489E-2</v>
      </c>
      <c r="AG6" s="13"/>
      <c r="AH6" s="15">
        <v>76</v>
      </c>
      <c r="AI6" s="15">
        <v>535605.35</v>
      </c>
      <c r="AJ6" s="13">
        <v>0.1276898727799026</v>
      </c>
      <c r="AK6" s="13">
        <v>9.2689872779902593E-2</v>
      </c>
      <c r="AL6" s="13"/>
      <c r="AM6" s="15">
        <v>74</v>
      </c>
      <c r="AN6" s="15">
        <v>508378.58999999991</v>
      </c>
      <c r="AO6" s="13">
        <v>8.1831806246677255E-2</v>
      </c>
      <c r="AP6" s="13">
        <v>5.0831806246677255E-2</v>
      </c>
      <c r="AQ6" s="13"/>
      <c r="AR6" s="15">
        <v>66</v>
      </c>
      <c r="AS6" s="15">
        <v>467151.57999999996</v>
      </c>
      <c r="AT6" s="13">
        <v>7.7421201503806311E-2</v>
      </c>
      <c r="AU6" s="13">
        <v>4.542120150380631E-2</v>
      </c>
      <c r="AV6" s="13"/>
      <c r="AW6" s="15">
        <v>60</v>
      </c>
      <c r="AX6" s="15">
        <v>433951.61121336324</v>
      </c>
      <c r="AY6" s="13">
        <v>7.4666401639273738E-2</v>
      </c>
      <c r="AZ6" s="13">
        <v>4.0878247580866126E-2</v>
      </c>
      <c r="BA6" s="13"/>
      <c r="BB6" s="15">
        <v>61</v>
      </c>
      <c r="BC6" s="15">
        <v>361544.23958204797</v>
      </c>
      <c r="BD6" s="13">
        <v>9.1633841883843714E-2</v>
      </c>
      <c r="BE6" s="13">
        <v>5.6633841883843711E-2</v>
      </c>
      <c r="BF6" s="13"/>
      <c r="BG6" s="15">
        <v>63</v>
      </c>
      <c r="BH6" s="15">
        <v>290538.36</v>
      </c>
      <c r="BI6" s="13">
        <v>9.5452221995079634E-2</v>
      </c>
      <c r="BJ6" s="13">
        <v>5.2452221995079637E-2</v>
      </c>
      <c r="BK6" s="13"/>
      <c r="BL6" s="15">
        <v>62</v>
      </c>
      <c r="BM6" s="15">
        <v>318821.27999999997</v>
      </c>
      <c r="BN6" s="13">
        <v>8.1662297819780613E-2</v>
      </c>
      <c r="BO6" s="13">
        <v>3.4304250633370448E-2</v>
      </c>
      <c r="BP6" s="13"/>
      <c r="BQ6" s="15">
        <v>69</v>
      </c>
      <c r="BR6" s="15">
        <v>368798.35999999993</v>
      </c>
      <c r="BS6" s="13">
        <v>5.4851290271355602E-2</v>
      </c>
      <c r="BT6" s="13">
        <v>-1.1487097286443995E-3</v>
      </c>
      <c r="BU6" s="13"/>
      <c r="BV6" s="15">
        <v>72</v>
      </c>
      <c r="BW6" s="15">
        <v>406347.93092799996</v>
      </c>
      <c r="BX6" s="13">
        <v>8.6570199200134729E-2</v>
      </c>
      <c r="BY6" s="13">
        <v>1.9570199200134725E-2</v>
      </c>
      <c r="BZ6" s="13"/>
      <c r="CA6" s="15">
        <v>68</v>
      </c>
      <c r="CB6" s="15">
        <v>441639.68977857905</v>
      </c>
      <c r="CC6" s="13">
        <v>9.2890416520979402E-2</v>
      </c>
      <c r="CD6" s="13">
        <v>2.3390416520979396E-2</v>
      </c>
      <c r="CE6" s="13"/>
      <c r="CF6" s="15">
        <v>64</v>
      </c>
      <c r="CG6" s="15">
        <v>405273.66933040635</v>
      </c>
      <c r="CH6" s="13">
        <v>8.0742499535968015E-2</v>
      </c>
      <c r="CI6" s="13">
        <v>4.2424995359680168E-3</v>
      </c>
      <c r="CJ6" s="13"/>
      <c r="CK6" s="15">
        <v>73</v>
      </c>
      <c r="CL6" s="15">
        <v>536857.06933040649</v>
      </c>
      <c r="CM6" s="13">
        <v>0.11669236431922725</v>
      </c>
      <c r="CN6" s="13">
        <v>3.8692364319227249E-2</v>
      </c>
      <c r="CO6" s="13"/>
      <c r="CP6" s="15">
        <v>70</v>
      </c>
      <c r="CQ6" s="15">
        <v>498326.26118314243</v>
      </c>
      <c r="CR6" s="13">
        <v>0.15634826061087814</v>
      </c>
      <c r="CS6" s="13">
        <v>7.7587737611213639E-2</v>
      </c>
      <c r="CT6" s="13"/>
      <c r="CU6" s="15">
        <v>79</v>
      </c>
      <c r="CV6" s="15">
        <v>495000.53118314239</v>
      </c>
      <c r="CW6" s="13">
        <v>0.16633145812445815</v>
      </c>
      <c r="CX6" s="13">
        <v>9.353145812445815E-2</v>
      </c>
      <c r="CY6" s="13"/>
      <c r="CZ6" s="15">
        <v>89</v>
      </c>
      <c r="DA6" s="15">
        <v>517903.06163131527</v>
      </c>
      <c r="DB6" s="13">
        <v>0.17694482973554782</v>
      </c>
      <c r="DC6" s="13">
        <v>0.11194482973554781</v>
      </c>
      <c r="DD6" s="13"/>
      <c r="DE6" s="15">
        <v>87</v>
      </c>
      <c r="DF6" s="15">
        <v>421503.88060364802</v>
      </c>
      <c r="DG6" s="13">
        <v>0.16799927866604492</v>
      </c>
      <c r="DH6" s="13">
        <v>0.11399927866604492</v>
      </c>
      <c r="DI6" s="13"/>
      <c r="DJ6" s="15">
        <v>92</v>
      </c>
      <c r="DK6" s="15">
        <v>519427.19031828491</v>
      </c>
      <c r="DL6" s="13">
        <v>0.125</v>
      </c>
      <c r="DM6" s="13">
        <v>7.5999999999999998E-2</v>
      </c>
      <c r="DN6" s="13"/>
      <c r="DO6" s="15">
        <v>97</v>
      </c>
      <c r="DP6" s="15">
        <v>566305.57031828491</v>
      </c>
      <c r="DQ6" s="13">
        <v>0.11883377075873858</v>
      </c>
      <c r="DR6" s="13">
        <v>7.303377075873857E-2</v>
      </c>
      <c r="DS6" s="13"/>
      <c r="DT6" s="15">
        <v>88</v>
      </c>
      <c r="DU6" s="15">
        <v>489481.44031828485</v>
      </c>
      <c r="DV6" s="13">
        <v>8.9987406791647517E-2</v>
      </c>
      <c r="DW6" s="13">
        <v>4.3287406791647519E-2</v>
      </c>
      <c r="DX6" s="13"/>
      <c r="DY6" s="15">
        <v>82</v>
      </c>
      <c r="DZ6" s="15">
        <v>582503.13031828485</v>
      </c>
      <c r="EA6" s="13">
        <v>0.16736066957860474</v>
      </c>
      <c r="EB6" s="13">
        <v>0.12042944515491777</v>
      </c>
      <c r="EC6" s="13"/>
      <c r="ED6" s="15">
        <v>93</v>
      </c>
      <c r="EE6" s="15">
        <v>591438.78870120959</v>
      </c>
      <c r="EF6" s="13">
        <v>0.17744596361742015</v>
      </c>
      <c r="EG6" s="13">
        <v>0.13235749731712698</v>
      </c>
      <c r="EI6" s="15">
        <v>85</v>
      </c>
      <c r="EJ6" s="15">
        <v>494613.06870120968</v>
      </c>
      <c r="EK6" s="13">
        <v>0.18446649131535597</v>
      </c>
      <c r="EL6" s="13">
        <v>0.14097154167694853</v>
      </c>
      <c r="EN6" s="15">
        <v>78</v>
      </c>
      <c r="EO6" s="15">
        <v>475625.47870120953</v>
      </c>
      <c r="EP6" s="13">
        <v>0.16831570775160887</v>
      </c>
      <c r="EQ6" s="13">
        <v>0.127</v>
      </c>
      <c r="ES6" s="15">
        <v>18</v>
      </c>
      <c r="ET6" s="15">
        <v>83469.989999999991</v>
      </c>
      <c r="EU6" s="13">
        <v>0.16412704791081878</v>
      </c>
      <c r="EV6" s="13">
        <v>0.12712704791081877</v>
      </c>
    </row>
    <row r="7" spans="1:152" x14ac:dyDescent="0.35">
      <c r="B7" s="14"/>
      <c r="C7" s="14" t="s">
        <v>39</v>
      </c>
      <c r="D7" s="15">
        <v>56</v>
      </c>
      <c r="E7" s="15">
        <v>104786.28</v>
      </c>
      <c r="F7" s="13">
        <v>7.0932487085770532E-2</v>
      </c>
      <c r="G7" s="13">
        <v>2.533248708577053E-2</v>
      </c>
      <c r="H7" s="13"/>
      <c r="I7" s="15">
        <v>67</v>
      </c>
      <c r="J7" s="15">
        <v>108460.10999999999</v>
      </c>
      <c r="K7" s="13">
        <v>6.7504892142103312E-2</v>
      </c>
      <c r="L7" s="13">
        <v>1.850489214210331E-2</v>
      </c>
      <c r="M7" s="13"/>
      <c r="N7" s="15">
        <v>69</v>
      </c>
      <c r="O7" s="15">
        <v>116253.23999999996</v>
      </c>
      <c r="P7" s="13">
        <v>6.3424166427892725E-2</v>
      </c>
      <c r="Q7" s="13">
        <v>1.7513823554878627E-2</v>
      </c>
      <c r="R7" s="13"/>
      <c r="S7" s="15">
        <v>72</v>
      </c>
      <c r="T7" s="15">
        <v>97702.159999999945</v>
      </c>
      <c r="U7" s="13">
        <v>8.9888705677081404E-2</v>
      </c>
      <c r="V7" s="13">
        <v>4.4847530921863756E-2</v>
      </c>
      <c r="W7" s="13"/>
      <c r="X7" s="15">
        <v>94</v>
      </c>
      <c r="Y7" s="15">
        <v>249056.9</v>
      </c>
      <c r="Z7" s="13">
        <v>2.5748497700304629E-2</v>
      </c>
      <c r="AA7" s="13">
        <v>-1.6251502299695374E-2</v>
      </c>
      <c r="AB7" s="13"/>
      <c r="AC7" s="15">
        <v>74</v>
      </c>
      <c r="AD7" s="15">
        <v>114562.40999999999</v>
      </c>
      <c r="AE7" s="13">
        <v>2.5472615574442463E-2</v>
      </c>
      <c r="AF7" s="13">
        <v>-1.2527384425557536E-2</v>
      </c>
      <c r="AG7" s="13"/>
      <c r="AH7" s="15">
        <v>64</v>
      </c>
      <c r="AI7" s="15">
        <v>104597.69999999998</v>
      </c>
      <c r="AJ7" s="13">
        <v>8.0512329937264801E-2</v>
      </c>
      <c r="AK7" s="13">
        <v>4.5512329937264798E-2</v>
      </c>
      <c r="AL7" s="13"/>
      <c r="AM7" s="15">
        <v>58</v>
      </c>
      <c r="AN7" s="15">
        <v>107730.38999999998</v>
      </c>
      <c r="AO7" s="13">
        <v>8.9490944604136216E-2</v>
      </c>
      <c r="AP7" s="13">
        <v>5.8490944604136216E-2</v>
      </c>
      <c r="AQ7" s="13"/>
      <c r="AR7" s="15">
        <v>40</v>
      </c>
      <c r="AS7" s="15">
        <v>117968.16000000003</v>
      </c>
      <c r="AT7" s="13">
        <v>2.2789476503769539E-2</v>
      </c>
      <c r="AU7" s="13">
        <v>-9.2105234962304612E-3</v>
      </c>
      <c r="AV7" s="13"/>
      <c r="AW7" s="15">
        <v>51</v>
      </c>
      <c r="AX7" s="15">
        <v>122544.59000000001</v>
      </c>
      <c r="AY7" s="13">
        <v>1.9676997178805351E-2</v>
      </c>
      <c r="AZ7" s="13">
        <v>-1.4111156879602262E-2</v>
      </c>
      <c r="BA7" s="13"/>
      <c r="BB7" s="15">
        <v>97</v>
      </c>
      <c r="BC7" s="15">
        <v>87340.959999999977</v>
      </c>
      <c r="BD7" s="13">
        <v>1.1528314764232866E-2</v>
      </c>
      <c r="BE7" s="13">
        <v>-2.3471685235767138E-2</v>
      </c>
      <c r="BF7" s="13"/>
      <c r="BG7" s="15">
        <v>102</v>
      </c>
      <c r="BH7" s="15">
        <v>93938.890000000014</v>
      </c>
      <c r="BI7" s="13">
        <v>-6.2689359388773732E-3</v>
      </c>
      <c r="BJ7" s="13">
        <v>-4.9268935938877371E-2</v>
      </c>
      <c r="BK7" s="13"/>
      <c r="BL7" s="15">
        <v>104</v>
      </c>
      <c r="BM7" s="15">
        <v>89327.489999999991</v>
      </c>
      <c r="BN7" s="13">
        <v>-5.6727058285404594E-3</v>
      </c>
      <c r="BO7" s="13">
        <v>-5.3030753014950624E-2</v>
      </c>
      <c r="BP7" s="13"/>
      <c r="BQ7" s="15">
        <v>96</v>
      </c>
      <c r="BR7" s="15">
        <v>86794.970000000016</v>
      </c>
      <c r="BS7" s="13">
        <v>-9.8747978464127639E-3</v>
      </c>
      <c r="BT7" s="13">
        <v>-6.5874797846412758E-2</v>
      </c>
      <c r="BU7" s="13"/>
      <c r="BV7" s="15">
        <v>41</v>
      </c>
      <c r="BW7" s="15">
        <v>69642.799999999974</v>
      </c>
      <c r="BX7" s="13">
        <v>-6.4780159553560566E-3</v>
      </c>
      <c r="BY7" s="13">
        <v>-7.3478015955356066E-2</v>
      </c>
      <c r="BZ7" s="13"/>
      <c r="CA7" s="15">
        <v>48</v>
      </c>
      <c r="CB7" s="15">
        <v>76651.87</v>
      </c>
      <c r="CC7" s="13">
        <v>1.7251659910615835E-2</v>
      </c>
      <c r="CD7" s="13">
        <v>-5.2248340089384171E-2</v>
      </c>
      <c r="CE7" s="13"/>
      <c r="CF7" s="15">
        <v>58</v>
      </c>
      <c r="CG7" s="15">
        <v>73222.459999999977</v>
      </c>
      <c r="CH7" s="13">
        <v>2.0750260831193579E-2</v>
      </c>
      <c r="CI7" s="13">
        <v>-5.574973916880642E-2</v>
      </c>
      <c r="CJ7" s="13"/>
      <c r="CK7" s="15">
        <v>67</v>
      </c>
      <c r="CL7" s="15">
        <v>70495.709999999934</v>
      </c>
      <c r="CM7" s="13">
        <v>1.9249479481808773E-2</v>
      </c>
      <c r="CN7" s="13">
        <v>-5.8750520518191227E-2</v>
      </c>
      <c r="CO7" s="13"/>
      <c r="CP7" s="15">
        <v>71</v>
      </c>
      <c r="CQ7" s="15">
        <v>149244.96999999997</v>
      </c>
      <c r="CR7" s="13">
        <v>1.1150882274395757E-2</v>
      </c>
      <c r="CS7" s="13">
        <v>-6.7609640725268746E-2</v>
      </c>
      <c r="CT7" s="13"/>
      <c r="CU7" s="15">
        <v>55</v>
      </c>
      <c r="CV7" s="15">
        <v>141767.75</v>
      </c>
      <c r="CW7" s="13">
        <v>5.2970495655240146E-3</v>
      </c>
      <c r="CX7" s="13">
        <v>-6.7502950434475989E-2</v>
      </c>
      <c r="CY7" s="13"/>
      <c r="CZ7" s="15">
        <v>53</v>
      </c>
      <c r="DA7" s="15">
        <v>159930.49</v>
      </c>
      <c r="DB7" s="13">
        <v>-3.8516766580247719E-3</v>
      </c>
      <c r="DC7" s="13">
        <v>-6.8851676658024774E-2</v>
      </c>
      <c r="DD7" s="13"/>
      <c r="DE7" s="15">
        <v>46</v>
      </c>
      <c r="DF7" s="15">
        <v>155335.25999999995</v>
      </c>
      <c r="DG7" s="13">
        <v>1.8439428678562075E-2</v>
      </c>
      <c r="DH7" s="13">
        <v>-3.5560571321437924E-2</v>
      </c>
      <c r="DI7" s="13"/>
      <c r="DJ7" s="15">
        <v>51</v>
      </c>
      <c r="DK7" s="15">
        <v>53722.600000000028</v>
      </c>
      <c r="DL7" s="13">
        <v>2.5999999999999999E-2</v>
      </c>
      <c r="DM7" s="13">
        <v>-2.1999999999999999E-2</v>
      </c>
      <c r="DN7" s="13"/>
      <c r="DO7" s="15">
        <v>73</v>
      </c>
      <c r="DP7" s="15">
        <v>63604.030000000028</v>
      </c>
      <c r="DQ7" s="13">
        <v>2.9172163375126958E-2</v>
      </c>
      <c r="DR7" s="13">
        <v>-1.6627836624873042E-2</v>
      </c>
      <c r="DS7" s="13"/>
      <c r="DT7" s="15">
        <v>80</v>
      </c>
      <c r="DU7" s="15">
        <v>72949.169999999984</v>
      </c>
      <c r="DV7" s="13">
        <v>4.9159494959381655E-2</v>
      </c>
      <c r="DW7" s="13">
        <v>2.459494959381657E-3</v>
      </c>
      <c r="DX7" s="13"/>
      <c r="DY7" s="15">
        <v>89</v>
      </c>
      <c r="DZ7" s="15">
        <v>67085.919999999998</v>
      </c>
      <c r="EA7" s="13">
        <v>2.8642548876503859E-2</v>
      </c>
      <c r="EB7" s="13">
        <v>-1.8288675547183102E-2</v>
      </c>
      <c r="EC7" s="13"/>
      <c r="ED7" s="15">
        <v>88</v>
      </c>
      <c r="EE7" s="15">
        <v>172404.35000000012</v>
      </c>
      <c r="EF7" s="13">
        <v>1.697346077301698E-2</v>
      </c>
      <c r="EG7" s="13">
        <v>-2.81150055272762E-2</v>
      </c>
      <c r="EI7" s="15">
        <v>72</v>
      </c>
      <c r="EJ7" s="15">
        <v>176641.17000000007</v>
      </c>
      <c r="EK7" s="13">
        <v>2.1212275277066928E-2</v>
      </c>
      <c r="EL7" s="13">
        <v>-2.2282674361340529E-2</v>
      </c>
      <c r="EN7" s="15">
        <v>79</v>
      </c>
      <c r="EO7" s="15">
        <v>173245.58000000007</v>
      </c>
      <c r="EP7" s="13">
        <v>1.3291995134128376E-2</v>
      </c>
      <c r="EQ7" s="13">
        <v>-2.8000000000000001E-2</v>
      </c>
      <c r="ES7" s="15">
        <v>11</v>
      </c>
      <c r="ET7" s="15">
        <v>3516.3200000000006</v>
      </c>
      <c r="EU7" s="13">
        <v>5.0318946438880019E-2</v>
      </c>
      <c r="EV7" s="13">
        <v>1.3318946438880021E-2</v>
      </c>
    </row>
    <row r="8" spans="1:152" x14ac:dyDescent="0.35">
      <c r="B8" s="14"/>
      <c r="C8" s="14" t="s">
        <v>28</v>
      </c>
      <c r="D8" s="15"/>
      <c r="E8" s="15"/>
      <c r="F8" s="13"/>
      <c r="G8" s="13"/>
      <c r="H8" s="13"/>
      <c r="I8" s="15"/>
      <c r="J8" s="15"/>
      <c r="K8" s="13"/>
      <c r="L8" s="13"/>
      <c r="M8" s="13"/>
      <c r="N8" s="15"/>
      <c r="O8" s="15"/>
      <c r="P8" s="13"/>
      <c r="Q8" s="13"/>
      <c r="R8" s="13"/>
      <c r="S8" s="15"/>
      <c r="T8" s="15"/>
      <c r="U8" s="13"/>
      <c r="V8" s="13"/>
      <c r="W8" s="13"/>
      <c r="X8" s="15"/>
      <c r="Y8" s="15"/>
      <c r="Z8" s="13"/>
      <c r="AA8" s="13"/>
      <c r="AB8" s="13"/>
      <c r="AC8" s="15"/>
      <c r="AD8" s="15"/>
      <c r="AE8" s="13"/>
      <c r="AF8" s="13"/>
      <c r="AG8" s="13"/>
      <c r="AH8" s="15"/>
      <c r="AI8" s="15"/>
      <c r="AJ8" s="13"/>
      <c r="AK8" s="13"/>
      <c r="AL8" s="13"/>
      <c r="AM8" s="15"/>
      <c r="AN8" s="15"/>
      <c r="AO8" s="13"/>
      <c r="AP8" s="13"/>
      <c r="AQ8" s="13"/>
      <c r="AR8" s="15"/>
      <c r="AS8" s="15"/>
      <c r="AT8" s="13"/>
      <c r="AU8" s="13"/>
      <c r="AV8" s="13"/>
      <c r="AW8" s="15"/>
      <c r="AX8" s="15"/>
      <c r="AY8" s="13"/>
      <c r="AZ8" s="13"/>
      <c r="BA8" s="13"/>
      <c r="BB8" s="15"/>
      <c r="BC8" s="15"/>
      <c r="BD8" s="13"/>
      <c r="BE8" s="13"/>
      <c r="BF8" s="13"/>
      <c r="BG8" s="15"/>
      <c r="BH8" s="15"/>
      <c r="BI8" s="13"/>
      <c r="BJ8" s="13"/>
      <c r="BK8" s="13"/>
      <c r="BL8" s="15"/>
      <c r="BM8" s="15"/>
      <c r="BN8" s="13"/>
      <c r="BO8" s="13"/>
      <c r="BP8" s="13"/>
      <c r="BQ8" s="15"/>
      <c r="BR8" s="15"/>
      <c r="BS8" s="13"/>
      <c r="BT8" s="13"/>
      <c r="BU8" s="13"/>
      <c r="BV8" s="15"/>
      <c r="BW8" s="15"/>
      <c r="BX8" s="13"/>
      <c r="BY8" s="13"/>
      <c r="BZ8" s="13"/>
      <c r="CA8" s="15"/>
      <c r="CB8" s="15"/>
      <c r="CC8" s="13"/>
      <c r="CD8" s="13"/>
      <c r="CE8" s="13"/>
      <c r="CF8" s="171"/>
      <c r="CG8" s="15"/>
      <c r="CH8" s="13"/>
      <c r="CI8" s="13"/>
      <c r="CJ8" s="13"/>
      <c r="CK8" s="171"/>
      <c r="CL8" s="15"/>
      <c r="CM8" s="13"/>
      <c r="CN8" s="13"/>
      <c r="CO8" s="13"/>
      <c r="CP8" s="171"/>
      <c r="CQ8" s="15"/>
      <c r="CR8" s="13"/>
      <c r="CS8" s="13"/>
      <c r="CT8" s="13"/>
      <c r="CU8" s="171">
        <v>2</v>
      </c>
      <c r="CV8" s="15">
        <v>11350</v>
      </c>
      <c r="CW8" s="13">
        <v>7.0539040209260273E-2</v>
      </c>
      <c r="CX8" s="13">
        <v>-2.2609597907397305E-3</v>
      </c>
      <c r="CY8" s="13"/>
      <c r="CZ8" s="171">
        <v>3</v>
      </c>
      <c r="DA8" s="15">
        <v>24370</v>
      </c>
      <c r="DB8" s="13">
        <v>7.9434992629958012E-2</v>
      </c>
      <c r="DC8" s="13">
        <v>1.443499262995801E-2</v>
      </c>
      <c r="DD8" s="13"/>
      <c r="DE8" s="171">
        <v>2</v>
      </c>
      <c r="DF8" s="15">
        <v>13389</v>
      </c>
      <c r="DG8" s="13">
        <v>5.0435756250499786E-2</v>
      </c>
      <c r="DH8" s="13">
        <v>-3.5642437495002136E-3</v>
      </c>
      <c r="DI8" s="13"/>
      <c r="DJ8" s="171">
        <v>1</v>
      </c>
      <c r="DK8" s="15">
        <v>369</v>
      </c>
      <c r="DL8" s="13">
        <v>9.9000000000000005E-2</v>
      </c>
      <c r="DM8" s="13">
        <v>0.05</v>
      </c>
      <c r="DN8" s="13"/>
      <c r="DO8" s="171">
        <v>1</v>
      </c>
      <c r="DP8" s="15">
        <v>13020</v>
      </c>
      <c r="DQ8" s="13">
        <v>4.6600001387430812E-2</v>
      </c>
      <c r="DR8" s="13">
        <v>8.0000138743081123E-4</v>
      </c>
      <c r="DS8" s="13"/>
      <c r="DT8" s="171">
        <v>0</v>
      </c>
      <c r="DU8" s="15">
        <v>0</v>
      </c>
      <c r="DV8" s="13" t="s">
        <v>407</v>
      </c>
      <c r="DW8" s="13" t="s">
        <v>407</v>
      </c>
      <c r="DX8" s="13"/>
      <c r="DY8" s="171">
        <v>0</v>
      </c>
      <c r="DZ8" s="15">
        <v>0</v>
      </c>
      <c r="EA8" s="13" t="s">
        <v>407</v>
      </c>
      <c r="EB8" s="13" t="s">
        <v>407</v>
      </c>
      <c r="EC8" s="13"/>
      <c r="ED8" s="171">
        <v>4</v>
      </c>
      <c r="EE8" s="15">
        <v>43995.23</v>
      </c>
      <c r="EF8" s="13">
        <v>5.4890649391472479E-2</v>
      </c>
      <c r="EG8" s="13">
        <v>9.8021830911792993E-3</v>
      </c>
      <c r="EI8" s="171">
        <v>4</v>
      </c>
      <c r="EJ8" s="15">
        <v>43995.23</v>
      </c>
      <c r="EK8" s="13">
        <v>5.2815461973392042E-2</v>
      </c>
      <c r="EL8" s="13">
        <v>0.01</v>
      </c>
      <c r="EN8" s="171">
        <v>4</v>
      </c>
      <c r="EO8" s="15">
        <v>43995.23</v>
      </c>
      <c r="EP8" s="13">
        <v>5.2815461973392042E-2</v>
      </c>
      <c r="EQ8" s="13">
        <v>1.227891177189222E-2</v>
      </c>
      <c r="ES8" s="171">
        <v>0</v>
      </c>
      <c r="ET8" s="15">
        <v>0</v>
      </c>
      <c r="EU8" s="13" t="s">
        <v>407</v>
      </c>
      <c r="EV8" s="13" t="s">
        <v>407</v>
      </c>
    </row>
    <row r="9" spans="1:152" x14ac:dyDescent="0.35">
      <c r="B9" s="102" t="s">
        <v>34</v>
      </c>
      <c r="C9" s="102" t="s">
        <v>253</v>
      </c>
      <c r="D9" s="103">
        <v>107</v>
      </c>
      <c r="E9" s="103">
        <v>7456.910000000008</v>
      </c>
      <c r="F9" s="104">
        <v>6.5846578483081328E-2</v>
      </c>
      <c r="G9" s="104">
        <v>4.1846578483081327E-2</v>
      </c>
      <c r="H9" s="104"/>
      <c r="I9" s="103">
        <v>102</v>
      </c>
      <c r="J9" s="103">
        <v>8853.4300000000076</v>
      </c>
      <c r="K9" s="104">
        <v>6.0539977234536524E-2</v>
      </c>
      <c r="L9" s="104">
        <v>3.6539977234536523E-2</v>
      </c>
      <c r="M9" s="104"/>
      <c r="N9" s="103">
        <v>87</v>
      </c>
      <c r="O9" s="103">
        <v>8561.8500000000022</v>
      </c>
      <c r="P9" s="104">
        <v>5.324027140845633E-2</v>
      </c>
      <c r="Q9" s="104">
        <v>3.0284983743517395E-2</v>
      </c>
      <c r="R9" s="104"/>
      <c r="S9" s="103">
        <v>74</v>
      </c>
      <c r="T9" s="103">
        <v>7558.3800000000037</v>
      </c>
      <c r="U9" s="104">
        <v>3.4220296608915568E-3</v>
      </c>
      <c r="V9" s="104">
        <v>-1.6984509850895974E-2</v>
      </c>
      <c r="W9" s="104"/>
      <c r="X9" s="103">
        <v>80</v>
      </c>
      <c r="Y9" s="103">
        <v>6521.4100000000053</v>
      </c>
      <c r="Z9" s="104">
        <v>8.1391673772783779E-3</v>
      </c>
      <c r="AA9" s="104">
        <v>-1.0860832622721622E-2</v>
      </c>
      <c r="AB9" s="104"/>
      <c r="AC9" s="103">
        <v>80</v>
      </c>
      <c r="AD9" s="103">
        <v>4781.8100000000049</v>
      </c>
      <c r="AE9" s="104">
        <v>-1.6965902126538626E-3</v>
      </c>
      <c r="AF9" s="104">
        <v>-1.969659021265386E-2</v>
      </c>
      <c r="AG9" s="104"/>
      <c r="AH9" s="103">
        <v>90</v>
      </c>
      <c r="AI9" s="103">
        <v>5409.6300000000065</v>
      </c>
      <c r="AJ9" s="104">
        <v>-3.0225375709216763E-3</v>
      </c>
      <c r="AK9" s="104">
        <v>-2.3022537570921677E-2</v>
      </c>
      <c r="AL9" s="104"/>
      <c r="AM9" s="103">
        <v>82</v>
      </c>
      <c r="AN9" s="103">
        <v>5056.3700000000044</v>
      </c>
      <c r="AO9" s="104">
        <v>3.4930383265104503E-2</v>
      </c>
      <c r="AP9" s="104">
        <v>1.7930383265104502E-2</v>
      </c>
      <c r="AQ9" s="104"/>
      <c r="AR9" s="103">
        <v>78</v>
      </c>
      <c r="AS9" s="103">
        <v>6620.2400000000043</v>
      </c>
      <c r="AT9" s="104">
        <v>4.1691137429048349E-2</v>
      </c>
      <c r="AU9" s="104">
        <v>2.6691137429048349E-2</v>
      </c>
      <c r="AV9" s="104"/>
      <c r="AW9" s="103">
        <v>63</v>
      </c>
      <c r="AX9" s="103">
        <v>6051.0100000000039</v>
      </c>
      <c r="AY9" s="104">
        <v>3.9867112759831569E-2</v>
      </c>
      <c r="AZ9" s="104">
        <v>2.7817894079859014E-2</v>
      </c>
      <c r="BA9" s="104"/>
      <c r="BB9" s="103">
        <v>49</v>
      </c>
      <c r="BC9" s="103">
        <v>5042.1500000000024</v>
      </c>
      <c r="BD9" s="104">
        <v>1.6675999204304244E-2</v>
      </c>
      <c r="BE9" s="104">
        <v>5.6759992043042447E-3</v>
      </c>
      <c r="BF9" s="104"/>
      <c r="BG9" s="103">
        <v>58</v>
      </c>
      <c r="BH9" s="103">
        <v>6166.4700000000039</v>
      </c>
      <c r="BI9" s="104">
        <v>1.3183562436354884E-3</v>
      </c>
      <c r="BJ9" s="104">
        <v>-2.2681643756364511E-2</v>
      </c>
      <c r="BK9" s="104"/>
      <c r="BL9" s="103">
        <v>53</v>
      </c>
      <c r="BM9" s="103">
        <v>4760.1500000000042</v>
      </c>
      <c r="BN9" s="104">
        <v>-3.3885187630236101E-3</v>
      </c>
      <c r="BO9" s="104">
        <v>-3.5831676729116482E-2</v>
      </c>
      <c r="BP9" s="104"/>
      <c r="BQ9" s="103">
        <v>58</v>
      </c>
      <c r="BR9" s="103">
        <v>4810.1300000000056</v>
      </c>
      <c r="BS9" s="104">
        <v>6.0463191779569492E-3</v>
      </c>
      <c r="BT9" s="104">
        <v>-3.7953680822043048E-2</v>
      </c>
      <c r="BU9" s="104"/>
      <c r="BV9" s="103">
        <v>49</v>
      </c>
      <c r="BW9" s="103">
        <v>3851.8000000000029</v>
      </c>
      <c r="BX9" s="104">
        <v>4.8296033351241205E-2</v>
      </c>
      <c r="BY9" s="104">
        <v>-1.4703966648758796E-2</v>
      </c>
      <c r="BZ9" s="104"/>
      <c r="CA9" s="103">
        <v>46</v>
      </c>
      <c r="CB9" s="103">
        <v>6239.7700000000032</v>
      </c>
      <c r="CC9" s="104">
        <v>5.6007112716484286E-2</v>
      </c>
      <c r="CD9" s="104">
        <v>-1.4492887283515707E-2</v>
      </c>
      <c r="CE9" s="104"/>
      <c r="CF9" s="103">
        <v>63</v>
      </c>
      <c r="CG9" s="103">
        <v>8171.8400000000038</v>
      </c>
      <c r="CH9" s="104">
        <v>6.210284594180715E-2</v>
      </c>
      <c r="CI9" s="104">
        <v>-1.6897154058192851E-2</v>
      </c>
      <c r="CJ9" s="104"/>
      <c r="CK9" s="103">
        <v>74</v>
      </c>
      <c r="CL9" s="103">
        <v>10953.4</v>
      </c>
      <c r="CM9" s="104">
        <v>5.368416026938827E-2</v>
      </c>
      <c r="CN9" s="104">
        <v>-2.0115839730611734E-2</v>
      </c>
      <c r="CO9" s="104"/>
      <c r="CP9" s="103">
        <v>72</v>
      </c>
      <c r="CQ9" s="103">
        <v>11407.860000000006</v>
      </c>
      <c r="CR9" s="104">
        <v>6.0002822589241722E-2</v>
      </c>
      <c r="CS9" s="104">
        <v>-1.2123429396788704E-2</v>
      </c>
      <c r="CT9" s="104"/>
      <c r="CU9" s="103">
        <v>68</v>
      </c>
      <c r="CV9" s="103">
        <v>9135.0400000000045</v>
      </c>
      <c r="CW9" s="104">
        <v>5.5871870563138692E-2</v>
      </c>
      <c r="CX9" s="104">
        <v>-1.2128129436861312E-2</v>
      </c>
      <c r="CY9" s="104"/>
      <c r="CZ9" s="103">
        <v>61</v>
      </c>
      <c r="DA9" s="103">
        <v>7554.5400000000036</v>
      </c>
      <c r="DB9" s="104">
        <v>7.1724102576402604E-2</v>
      </c>
      <c r="DC9" s="104">
        <v>1.5724102576402603E-2</v>
      </c>
      <c r="DD9" s="104"/>
      <c r="DE9" s="103">
        <v>74</v>
      </c>
      <c r="DF9" s="103">
        <v>7160.5200000000023</v>
      </c>
      <c r="DG9" s="104">
        <v>0.10049323326277348</v>
      </c>
      <c r="DH9" s="104">
        <v>6.5493233262773481E-2</v>
      </c>
      <c r="DI9" s="104"/>
      <c r="DJ9" s="103">
        <v>60</v>
      </c>
      <c r="DK9" s="103">
        <v>6727</v>
      </c>
      <c r="DL9" s="104">
        <v>9.6000000000000002E-2</v>
      </c>
      <c r="DM9" s="104">
        <v>6.2E-2</v>
      </c>
      <c r="DN9" s="104"/>
      <c r="DO9" s="103">
        <v>59</v>
      </c>
      <c r="DP9" s="103">
        <v>6791.9099999999989</v>
      </c>
      <c r="DQ9" s="104">
        <v>9.7106423006120046E-2</v>
      </c>
      <c r="DR9" s="104">
        <v>6.4106423006120045E-2</v>
      </c>
      <c r="DS9" s="104"/>
      <c r="DT9" s="103">
        <v>54</v>
      </c>
      <c r="DU9" s="103">
        <v>4126.5700000000024</v>
      </c>
      <c r="DV9" s="104">
        <v>7.5304124505835679E-2</v>
      </c>
      <c r="DW9" s="104">
        <v>4.4204124505835676E-2</v>
      </c>
      <c r="DX9" s="104"/>
      <c r="DY9" s="103">
        <v>50</v>
      </c>
      <c r="DZ9" s="103">
        <v>4243.1200000000035</v>
      </c>
      <c r="EA9" s="104">
        <v>4.7413057128042668E-2</v>
      </c>
      <c r="EB9" s="104">
        <v>1.873859768083537E-2</v>
      </c>
      <c r="EC9" s="104"/>
      <c r="ED9" s="103">
        <v>52</v>
      </c>
      <c r="EE9" s="103">
        <v>4233.7699999999995</v>
      </c>
      <c r="EF9" s="104">
        <v>7.7814871541022512E-2</v>
      </c>
      <c r="EG9" s="104">
        <v>4.987949051189508E-2</v>
      </c>
      <c r="EI9" s="103">
        <v>54</v>
      </c>
      <c r="EJ9" s="103">
        <v>3587.9099999999994</v>
      </c>
      <c r="EK9" s="104">
        <v>8.9016825391257992E-2</v>
      </c>
      <c r="EL9" s="104">
        <v>6.2465248728748181E-2</v>
      </c>
      <c r="EN9" s="103">
        <v>37</v>
      </c>
      <c r="EO9" s="103">
        <v>2457.58</v>
      </c>
      <c r="EP9" s="104">
        <v>8.9319429736636202E-2</v>
      </c>
      <c r="EQ9" s="104">
        <v>6.2144746496695019E-2</v>
      </c>
      <c r="ES9" s="103">
        <v>21</v>
      </c>
      <c r="ET9" s="103">
        <v>3183.88</v>
      </c>
      <c r="EU9" s="104">
        <v>4.6388725619936455E-2</v>
      </c>
      <c r="EV9" s="104">
        <v>1.9388725619936455E-2</v>
      </c>
    </row>
    <row r="10" spans="1:152" ht="15" x14ac:dyDescent="0.35">
      <c r="B10" s="102"/>
      <c r="C10" s="102" t="s">
        <v>445</v>
      </c>
      <c r="D10" s="103">
        <v>10</v>
      </c>
      <c r="E10" s="103">
        <v>98082.35</v>
      </c>
      <c r="F10" s="104">
        <v>2.2808350951707811E-2</v>
      </c>
      <c r="G10" s="104">
        <v>-1.1916490482921892E-3</v>
      </c>
      <c r="H10" s="104"/>
      <c r="I10" s="103">
        <v>12</v>
      </c>
      <c r="J10" s="103">
        <v>149696.24</v>
      </c>
      <c r="K10" s="104">
        <v>2.2837971656607614E-2</v>
      </c>
      <c r="L10" s="104">
        <v>-1.1620283433923864E-3</v>
      </c>
      <c r="M10" s="104"/>
      <c r="N10" s="103">
        <v>10</v>
      </c>
      <c r="O10" s="103">
        <v>126089.61</v>
      </c>
      <c r="P10" s="104">
        <v>2.6924222635329675E-2</v>
      </c>
      <c r="Q10" s="104">
        <v>3.9689349703907403E-3</v>
      </c>
      <c r="R10" s="104"/>
      <c r="S10" s="103">
        <v>15</v>
      </c>
      <c r="T10" s="103">
        <v>102444.49</v>
      </c>
      <c r="U10" s="104">
        <v>4.5788099577154684E-2</v>
      </c>
      <c r="V10" s="104">
        <v>2.5381560065367154E-2</v>
      </c>
      <c r="W10" s="104"/>
      <c r="X10" s="103">
        <v>19</v>
      </c>
      <c r="Y10" s="103">
        <v>134713.60000000001</v>
      </c>
      <c r="Z10" s="104">
        <v>9.6101718416714554E-3</v>
      </c>
      <c r="AA10" s="104">
        <v>-9.3898281583285441E-3</v>
      </c>
      <c r="AB10" s="104"/>
      <c r="AC10" s="103">
        <v>21</v>
      </c>
      <c r="AD10" s="103">
        <v>154726.6</v>
      </c>
      <c r="AE10" s="104">
        <v>2.7682022444165261E-2</v>
      </c>
      <c r="AF10" s="104">
        <v>9.6820224441652621E-3</v>
      </c>
      <c r="AG10" s="104"/>
      <c r="AH10" s="103">
        <v>21</v>
      </c>
      <c r="AI10" s="103">
        <v>177107.09</v>
      </c>
      <c r="AJ10" s="104">
        <v>1.2906605342385288E-2</v>
      </c>
      <c r="AK10" s="104">
        <v>-7.0933946576147121E-3</v>
      </c>
      <c r="AL10" s="104"/>
      <c r="AM10" s="103">
        <v>22</v>
      </c>
      <c r="AN10" s="103">
        <v>180513.73</v>
      </c>
      <c r="AO10" s="104">
        <v>1.5977188597969309E-2</v>
      </c>
      <c r="AP10" s="104">
        <v>-1.0228114020306919E-3</v>
      </c>
      <c r="AQ10" s="104"/>
      <c r="AR10" s="103">
        <v>22</v>
      </c>
      <c r="AS10" s="103">
        <v>164584.88</v>
      </c>
      <c r="AT10" s="104">
        <v>2.8920167788788111E-2</v>
      </c>
      <c r="AU10" s="104">
        <v>1.3920167788788112E-2</v>
      </c>
      <c r="AV10" s="104"/>
      <c r="AW10" s="103">
        <v>35</v>
      </c>
      <c r="AX10" s="103">
        <v>278583.14500768</v>
      </c>
      <c r="AY10" s="104">
        <v>1.1859659096604455E-2</v>
      </c>
      <c r="AZ10" s="104">
        <v>-1.8955958336809922E-4</v>
      </c>
      <c r="BA10" s="104"/>
      <c r="BB10" s="103">
        <v>35</v>
      </c>
      <c r="BC10" s="103">
        <v>258340.81368238077</v>
      </c>
      <c r="BD10" s="104">
        <v>1.0804774115626218E-2</v>
      </c>
      <c r="BE10" s="104">
        <v>-1.9522588437378106E-4</v>
      </c>
      <c r="BF10" s="104"/>
      <c r="BG10" s="103">
        <v>31</v>
      </c>
      <c r="BH10" s="103">
        <v>271397.74203394563</v>
      </c>
      <c r="BI10" s="104">
        <v>1.4608219609396853E-2</v>
      </c>
      <c r="BJ10" s="104">
        <v>-9.3917803906031477E-3</v>
      </c>
      <c r="BK10" s="104"/>
      <c r="BL10" s="103">
        <v>27</v>
      </c>
      <c r="BM10" s="103">
        <v>230922.18919310081</v>
      </c>
      <c r="BN10" s="104">
        <v>1.4897363241047332E-2</v>
      </c>
      <c r="BO10" s="104">
        <v>-1.7545794725045541E-2</v>
      </c>
      <c r="BP10" s="104"/>
      <c r="BQ10" s="103">
        <v>29</v>
      </c>
      <c r="BR10" s="103">
        <v>233812.28322630396</v>
      </c>
      <c r="BS10" s="104">
        <v>1.8987496609681909E-2</v>
      </c>
      <c r="BT10" s="104">
        <v>-2.5012503390318089E-2</v>
      </c>
      <c r="BU10" s="104"/>
      <c r="BV10" s="103">
        <v>20</v>
      </c>
      <c r="BW10" s="103">
        <v>139168.82596647998</v>
      </c>
      <c r="BX10" s="104">
        <v>2.8462232811949217E-2</v>
      </c>
      <c r="BY10" s="104">
        <v>-3.453776718805078E-2</v>
      </c>
      <c r="BZ10" s="104"/>
      <c r="CA10" s="103">
        <v>23</v>
      </c>
      <c r="CB10" s="103">
        <v>138977.6829286048</v>
      </c>
      <c r="CC10" s="104">
        <v>4.5938295236352955E-2</v>
      </c>
      <c r="CD10" s="104">
        <v>-2.4561704763647038E-2</v>
      </c>
      <c r="CE10" s="104"/>
      <c r="CF10" s="103">
        <v>20</v>
      </c>
      <c r="CG10" s="103">
        <v>131475.3316495264</v>
      </c>
      <c r="CH10" s="104">
        <v>-2.2195755070940515E-2</v>
      </c>
      <c r="CI10" s="104">
        <v>-0.10119575507094052</v>
      </c>
      <c r="CJ10" s="104"/>
      <c r="CK10" s="103">
        <v>24</v>
      </c>
      <c r="CL10" s="103">
        <v>171019.37001914563</v>
      </c>
      <c r="CM10" s="104">
        <v>6.7819257273537437E-2</v>
      </c>
      <c r="CN10" s="104">
        <v>-5.9807427264625679E-3</v>
      </c>
      <c r="CO10" s="104"/>
      <c r="CP10" s="103">
        <v>19</v>
      </c>
      <c r="CQ10" s="103">
        <v>124712.28718712961</v>
      </c>
      <c r="CR10" s="104">
        <v>5.1463546325775544E-2</v>
      </c>
      <c r="CS10" s="104">
        <v>-2.0662705660254882E-2</v>
      </c>
      <c r="CT10" s="104"/>
      <c r="CU10" s="103">
        <v>22</v>
      </c>
      <c r="CV10" s="103">
        <v>191171.68849700483</v>
      </c>
      <c r="CW10" s="104">
        <v>6.8312883070472452E-2</v>
      </c>
      <c r="CX10" s="104">
        <v>3.1288307047244723E-4</v>
      </c>
      <c r="CY10" s="104"/>
      <c r="CZ10" s="103">
        <v>20</v>
      </c>
      <c r="DA10" s="103">
        <v>174391.05117120003</v>
      </c>
      <c r="DB10" s="104">
        <v>7.8558559015956098E-2</v>
      </c>
      <c r="DC10" s="104">
        <v>2.2558559015956096E-2</v>
      </c>
      <c r="DD10" s="104"/>
      <c r="DE10" s="103">
        <v>26</v>
      </c>
      <c r="DF10" s="103">
        <v>315131.27549104003</v>
      </c>
      <c r="DG10" s="104">
        <v>4.8227328971368388E-2</v>
      </c>
      <c r="DH10" s="104">
        <v>1.3227328971368385E-2</v>
      </c>
      <c r="DI10" s="104"/>
      <c r="DJ10" s="103">
        <v>32</v>
      </c>
      <c r="DK10" s="103">
        <v>369390</v>
      </c>
      <c r="DL10" s="104">
        <v>8.4000000000000005E-2</v>
      </c>
      <c r="DM10" s="104">
        <v>4.9000000000000002E-2</v>
      </c>
      <c r="DN10" s="104"/>
      <c r="DO10" s="103">
        <v>33</v>
      </c>
      <c r="DP10" s="103">
        <v>328701.63355174405</v>
      </c>
      <c r="DQ10" s="104">
        <v>0.11616969338198047</v>
      </c>
      <c r="DR10" s="104">
        <v>8.3169693381980464E-2</v>
      </c>
      <c r="DS10" s="104"/>
      <c r="DT10" s="103">
        <v>31</v>
      </c>
      <c r="DU10" s="103">
        <v>313580.48439039366</v>
      </c>
      <c r="DV10" s="104">
        <v>0.15586161646713714</v>
      </c>
      <c r="DW10" s="104">
        <v>0.12476161646713714</v>
      </c>
      <c r="DX10" s="104"/>
      <c r="DY10" s="103">
        <v>33</v>
      </c>
      <c r="DZ10" s="103">
        <v>351385.15152247041</v>
      </c>
      <c r="EA10" s="104">
        <v>0.14364338305785163</v>
      </c>
      <c r="EB10" s="104">
        <v>0.11496892361064433</v>
      </c>
      <c r="EC10" s="104"/>
      <c r="ED10" s="103">
        <v>35</v>
      </c>
      <c r="EE10" s="103">
        <v>344721.39531551668</v>
      </c>
      <c r="EF10" s="104">
        <v>0.13597677636815786</v>
      </c>
      <c r="EG10" s="104">
        <v>0.10804139533903043</v>
      </c>
      <c r="EI10" s="103">
        <v>33</v>
      </c>
      <c r="EJ10" s="103">
        <v>298672.39650978881</v>
      </c>
      <c r="EK10" s="104">
        <v>0.12329198073428627</v>
      </c>
      <c r="EL10" s="104">
        <v>9.6000000000000002E-2</v>
      </c>
      <c r="EN10" s="103">
        <v>30</v>
      </c>
      <c r="EO10" s="103">
        <v>256343.85367113919</v>
      </c>
      <c r="EP10" s="104">
        <v>0.10448740263079181</v>
      </c>
      <c r="EQ10" s="104">
        <v>7.7312719390850632E-2</v>
      </c>
      <c r="ES10" s="103">
        <v>5</v>
      </c>
      <c r="ET10" s="103">
        <v>28425.01</v>
      </c>
      <c r="EU10" s="104">
        <v>0.13874101910794523</v>
      </c>
      <c r="EV10" s="104">
        <v>0.11174101910794523</v>
      </c>
    </row>
    <row r="11" spans="1:152" x14ac:dyDescent="0.35">
      <c r="B11" s="105"/>
      <c r="C11" s="105" t="s">
        <v>39</v>
      </c>
      <c r="D11" s="106">
        <v>16</v>
      </c>
      <c r="E11" s="106">
        <v>9810.3700000000008</v>
      </c>
      <c r="F11" s="107">
        <v>1.9360047200732425E-2</v>
      </c>
      <c r="G11" s="107">
        <v>-4.639952799267575E-3</v>
      </c>
      <c r="H11" s="107"/>
      <c r="I11" s="106">
        <v>19</v>
      </c>
      <c r="J11" s="106">
        <v>16664.18</v>
      </c>
      <c r="K11" s="107">
        <v>4.2420784284892266E-2</v>
      </c>
      <c r="L11" s="107">
        <v>1.8420784284892265E-2</v>
      </c>
      <c r="M11" s="107"/>
      <c r="N11" s="106">
        <v>16</v>
      </c>
      <c r="O11" s="106">
        <v>23265.37</v>
      </c>
      <c r="P11" s="107">
        <v>6.0987736722829977E-2</v>
      </c>
      <c r="Q11" s="107">
        <v>3.8032449057891042E-2</v>
      </c>
      <c r="R11" s="107"/>
      <c r="S11" s="106">
        <v>18</v>
      </c>
      <c r="T11" s="106">
        <v>21483.25</v>
      </c>
      <c r="U11" s="107">
        <v>6.5687339447228155E-2</v>
      </c>
      <c r="V11" s="107">
        <v>4.5280799935440624E-2</v>
      </c>
      <c r="W11" s="107"/>
      <c r="X11" s="106">
        <v>22</v>
      </c>
      <c r="Y11" s="106">
        <v>27348.9</v>
      </c>
      <c r="Z11" s="107">
        <v>5.8816192136715628E-2</v>
      </c>
      <c r="AA11" s="107">
        <v>3.9816192136715625E-2</v>
      </c>
      <c r="AB11" s="107"/>
      <c r="AC11" s="106">
        <v>21</v>
      </c>
      <c r="AD11" s="106">
        <v>29655.13</v>
      </c>
      <c r="AE11" s="107">
        <v>2.652706401677148E-2</v>
      </c>
      <c r="AF11" s="107">
        <v>8.5270640167714809E-3</v>
      </c>
      <c r="AG11" s="107"/>
      <c r="AH11" s="106">
        <v>21</v>
      </c>
      <c r="AI11" s="106">
        <v>18841.760000000002</v>
      </c>
      <c r="AJ11" s="107">
        <v>-3.3141592598264435E-2</v>
      </c>
      <c r="AK11" s="107">
        <v>-5.3141592598264439E-2</v>
      </c>
      <c r="AL11" s="107"/>
      <c r="AM11" s="106">
        <v>16</v>
      </c>
      <c r="AN11" s="106">
        <v>18483.02</v>
      </c>
      <c r="AO11" s="107">
        <v>-3.6158197871540898E-2</v>
      </c>
      <c r="AP11" s="107">
        <v>-5.3158197871540899E-2</v>
      </c>
      <c r="AQ11" s="107"/>
      <c r="AR11" s="106">
        <v>16</v>
      </c>
      <c r="AS11" s="106">
        <v>27075.019999999993</v>
      </c>
      <c r="AT11" s="107">
        <v>-7.5316259224631005E-2</v>
      </c>
      <c r="AU11" s="107">
        <v>-9.0316259224631004E-2</v>
      </c>
      <c r="AV11" s="107"/>
      <c r="AW11" s="106">
        <v>21</v>
      </c>
      <c r="AX11" s="106">
        <v>21537.5848128</v>
      </c>
      <c r="AY11" s="107">
        <v>-4.4172816197051497E-2</v>
      </c>
      <c r="AZ11" s="107">
        <v>-5.6222034877024055E-2</v>
      </c>
      <c r="BA11" s="107"/>
      <c r="BB11" s="106">
        <v>18</v>
      </c>
      <c r="BC11" s="106">
        <v>22539.064812800003</v>
      </c>
      <c r="BD11" s="107">
        <v>-4.2853473596224059E-2</v>
      </c>
      <c r="BE11" s="107">
        <v>-5.3853473596224055E-2</v>
      </c>
      <c r="BF11" s="107"/>
      <c r="BG11" s="106">
        <v>18</v>
      </c>
      <c r="BH11" s="106">
        <v>18685.867986559999</v>
      </c>
      <c r="BI11" s="107">
        <v>-4.6088974340845433E-2</v>
      </c>
      <c r="BJ11" s="107">
        <v>-7.0088974340845434E-2</v>
      </c>
      <c r="BK11" s="107"/>
      <c r="BL11" s="106">
        <v>15</v>
      </c>
      <c r="BM11" s="106">
        <v>9956.4480825600003</v>
      </c>
      <c r="BN11" s="107">
        <v>1.9216723926018492E-3</v>
      </c>
      <c r="BO11" s="107">
        <v>-3.0521485573491023E-2</v>
      </c>
      <c r="BP11" s="107"/>
      <c r="BQ11" s="106">
        <v>11</v>
      </c>
      <c r="BR11" s="106">
        <v>10626.67</v>
      </c>
      <c r="BS11" s="107">
        <v>5.2222002353695007E-2</v>
      </c>
      <c r="BT11" s="107">
        <v>8.2220023536950099E-3</v>
      </c>
      <c r="BU11" s="107"/>
      <c r="BV11" s="106">
        <v>12</v>
      </c>
      <c r="BW11" s="106">
        <v>12489.39</v>
      </c>
      <c r="BX11" s="107">
        <v>-1.2242451906466157E-2</v>
      </c>
      <c r="BY11" s="107">
        <v>-7.5242451906466154E-2</v>
      </c>
      <c r="BZ11" s="107"/>
      <c r="CA11" s="106">
        <v>11</v>
      </c>
      <c r="CB11" s="106">
        <v>10707.18</v>
      </c>
      <c r="CC11" s="107">
        <v>-2.8588380467856722E-2</v>
      </c>
      <c r="CD11" s="107">
        <v>-9.9088380467856715E-2</v>
      </c>
      <c r="CE11" s="107"/>
      <c r="CF11" s="106">
        <v>6</v>
      </c>
      <c r="CG11" s="106">
        <v>5646.0900000000011</v>
      </c>
      <c r="CH11" s="107">
        <v>1.3368476297893839E-2</v>
      </c>
      <c r="CI11" s="107">
        <v>-6.5631523702106162E-2</v>
      </c>
      <c r="CJ11" s="107"/>
      <c r="CK11" s="106">
        <v>12</v>
      </c>
      <c r="CL11" s="106">
        <v>141147.41</v>
      </c>
      <c r="CM11" s="107">
        <v>3.0761753265257541E-2</v>
      </c>
      <c r="CN11" s="107">
        <v>-4.3038246734742464E-2</v>
      </c>
      <c r="CO11" s="107"/>
      <c r="CP11" s="106">
        <v>12</v>
      </c>
      <c r="CQ11" s="106">
        <v>138601.59</v>
      </c>
      <c r="CR11" s="107">
        <v>3.0848392734795116E-2</v>
      </c>
      <c r="CS11" s="107">
        <v>-4.127785925123531E-2</v>
      </c>
      <c r="CT11" s="107"/>
      <c r="CU11" s="106">
        <v>13</v>
      </c>
      <c r="CV11" s="106">
        <v>143101.69999999998</v>
      </c>
      <c r="CW11" s="107">
        <v>2.9585993817949241E-2</v>
      </c>
      <c r="CX11" s="107">
        <v>-3.8414006182050764E-2</v>
      </c>
      <c r="CY11" s="107"/>
      <c r="CZ11" s="106">
        <v>13</v>
      </c>
      <c r="DA11" s="106">
        <v>141358.84</v>
      </c>
      <c r="DB11" s="107">
        <v>2.2850915998186228E-2</v>
      </c>
      <c r="DC11" s="107">
        <v>-3.3149084001813774E-2</v>
      </c>
      <c r="DD11" s="107"/>
      <c r="DE11" s="106">
        <v>8</v>
      </c>
      <c r="DF11" s="106">
        <v>10160.830000000002</v>
      </c>
      <c r="DG11" s="107">
        <v>-7.8396371073882531E-2</v>
      </c>
      <c r="DH11" s="107">
        <v>-0.11339637107388253</v>
      </c>
      <c r="DI11" s="107"/>
      <c r="DJ11" s="106">
        <v>10</v>
      </c>
      <c r="DK11" s="106">
        <v>10732</v>
      </c>
      <c r="DL11" s="107">
        <v>-7.0000000000000001E-3</v>
      </c>
      <c r="DM11" s="107">
        <v>-4.2000000000000003E-2</v>
      </c>
      <c r="DN11" s="107"/>
      <c r="DO11" s="106">
        <v>12</v>
      </c>
      <c r="DP11" s="106">
        <v>14235.53</v>
      </c>
      <c r="DQ11" s="107">
        <v>-5.7849914208846775E-2</v>
      </c>
      <c r="DR11" s="107">
        <v>-9.0849914208846777E-2</v>
      </c>
      <c r="DS11" s="107"/>
      <c r="DT11" s="106">
        <v>10</v>
      </c>
      <c r="DU11" s="106">
        <v>8987.8300000000017</v>
      </c>
      <c r="DV11" s="107">
        <v>-4.3171935131428807E-2</v>
      </c>
      <c r="DW11" s="107">
        <v>-7.427193513142881E-2</v>
      </c>
      <c r="DX11" s="107"/>
      <c r="DY11" s="106">
        <v>7</v>
      </c>
      <c r="DZ11" s="106">
        <v>8209.89</v>
      </c>
      <c r="EA11" s="107">
        <v>5.2781789688666203E-2</v>
      </c>
      <c r="EB11" s="107">
        <v>2.4107330241458905E-2</v>
      </c>
      <c r="EC11" s="107"/>
      <c r="ED11" s="106">
        <v>8</v>
      </c>
      <c r="EE11" s="106">
        <v>5278.76</v>
      </c>
      <c r="EF11" s="107">
        <v>-4.2576514645937702E-2</v>
      </c>
      <c r="EG11" s="107">
        <v>-7.0511895675065134E-2</v>
      </c>
      <c r="EI11" s="106">
        <v>10</v>
      </c>
      <c r="EJ11" s="106">
        <v>11549.4</v>
      </c>
      <c r="EK11" s="107">
        <v>-2.2702765340991915E-2</v>
      </c>
      <c r="EL11" s="107">
        <v>-0.05</v>
      </c>
      <c r="EN11" s="106">
        <v>8</v>
      </c>
      <c r="EO11" s="106">
        <v>9767.35</v>
      </c>
      <c r="EP11" s="107">
        <v>-2.5328277546624478E-2</v>
      </c>
      <c r="EQ11" s="107">
        <v>-5.1999999999999998E-2</v>
      </c>
      <c r="ES11" s="106">
        <v>1</v>
      </c>
      <c r="ET11" s="106">
        <v>3304.86</v>
      </c>
      <c r="EU11" s="107">
        <v>-3.1574494215410587E-2</v>
      </c>
      <c r="EV11" s="107">
        <v>-5.8574494215410583E-2</v>
      </c>
    </row>
    <row r="12" spans="1:152" x14ac:dyDescent="0.35">
      <c r="B12" s="23" t="s">
        <v>250</v>
      </c>
      <c r="P12" s="20"/>
    </row>
    <row r="13" spans="1:152" x14ac:dyDescent="0.35">
      <c r="B13" s="23" t="s">
        <v>444</v>
      </c>
    </row>
  </sheetData>
  <mergeCells count="30">
    <mergeCell ref="ES3:EV3"/>
    <mergeCell ref="EN3:EQ3"/>
    <mergeCell ref="EI3:EL3"/>
    <mergeCell ref="D3:G3"/>
    <mergeCell ref="I3:L3"/>
    <mergeCell ref="N3:Q3"/>
    <mergeCell ref="S3:V3"/>
    <mergeCell ref="X3:AA3"/>
    <mergeCell ref="AH3:AK3"/>
    <mergeCell ref="AC3:AF3"/>
    <mergeCell ref="BG3:BJ3"/>
    <mergeCell ref="BB3:BE3"/>
    <mergeCell ref="AR3:AU3"/>
    <mergeCell ref="AW3:AZ3"/>
    <mergeCell ref="AM3:AP3"/>
    <mergeCell ref="ED3:EG3"/>
    <mergeCell ref="CK3:CN3"/>
    <mergeCell ref="BL3:BO3"/>
    <mergeCell ref="CF3:CI3"/>
    <mergeCell ref="CA3:CD3"/>
    <mergeCell ref="BV3:BY3"/>
    <mergeCell ref="BQ3:BT3"/>
    <mergeCell ref="DY3:EB3"/>
    <mergeCell ref="DE3:DH3"/>
    <mergeCell ref="CZ3:DC3"/>
    <mergeCell ref="CU3:CX3"/>
    <mergeCell ref="CP3:CS3"/>
    <mergeCell ref="DT3:DW3"/>
    <mergeCell ref="DO3:DR3"/>
    <mergeCell ref="DJ3:DM3"/>
  </mergeCells>
  <hyperlinks>
    <hyperlink ref="A1" location="Índice!A1" display="Regreso al índice" xr:uid="{247907AB-8168-4132-85BE-A51DF7B1640E}"/>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212503-4DED-496B-8C98-ECF3E0759278}">
  <dimension ref="A1:FY15"/>
  <sheetViews>
    <sheetView zoomScale="115" zoomScaleNormal="115" workbookViewId="0">
      <pane xSplit="2" topLeftCell="FQ1" activePane="topRight" state="frozen"/>
      <selection pane="topRight" activeCell="FY2" sqref="FY2"/>
    </sheetView>
  </sheetViews>
  <sheetFormatPr baseColWidth="10" defaultColWidth="9" defaultRowHeight="14.5" x14ac:dyDescent="0.35"/>
  <cols>
    <col min="1" max="1" width="3.1796875" style="1" customWidth="1"/>
    <col min="2" max="2" width="9" style="1"/>
    <col min="3" max="3" width="14.54296875" style="1" hidden="1" customWidth="1"/>
    <col min="4" max="4" width="13.81640625" style="1" hidden="1" customWidth="1"/>
    <col min="5" max="5" width="14" style="1" hidden="1" customWidth="1"/>
    <col min="6" max="7" width="13.453125" style="1" hidden="1" customWidth="1"/>
    <col min="8" max="8" width="1.453125" style="1" hidden="1" customWidth="1"/>
    <col min="9" max="9" width="14.54296875" style="1" hidden="1" customWidth="1"/>
    <col min="10" max="10" width="13.81640625" style="1" hidden="1" customWidth="1"/>
    <col min="11" max="11" width="14" style="1" hidden="1" customWidth="1"/>
    <col min="12" max="13" width="13.453125" style="1" hidden="1" customWidth="1"/>
    <col min="14" max="14" width="1.453125" style="1" hidden="1" customWidth="1"/>
    <col min="15" max="15" width="14.54296875" style="1" hidden="1" customWidth="1"/>
    <col min="16" max="16" width="13.81640625" style="1" hidden="1" customWidth="1"/>
    <col min="17" max="17" width="14" style="1" hidden="1" customWidth="1"/>
    <col min="18" max="19" width="13.453125" style="1" hidden="1" customWidth="1"/>
    <col min="20" max="20" width="1.453125" style="1" hidden="1" customWidth="1"/>
    <col min="21" max="21" width="14.54296875" style="1" hidden="1" customWidth="1"/>
    <col min="22" max="22" width="13.81640625" style="1" hidden="1" customWidth="1"/>
    <col min="23" max="23" width="14" style="1" hidden="1" customWidth="1"/>
    <col min="24" max="25" width="13.453125" style="1" hidden="1" customWidth="1"/>
    <col min="26" max="26" width="1.453125" style="1" hidden="1" customWidth="1"/>
    <col min="27" max="27" width="14.54296875" style="1" hidden="1" customWidth="1"/>
    <col min="28" max="28" width="13.81640625" style="1" hidden="1" customWidth="1"/>
    <col min="29" max="29" width="14" style="1" hidden="1" customWidth="1"/>
    <col min="30" max="31" width="13.453125" style="1" hidden="1" customWidth="1"/>
    <col min="32" max="32" width="1.453125" style="1" hidden="1" customWidth="1"/>
    <col min="33" max="33" width="14.54296875" style="1" hidden="1" customWidth="1"/>
    <col min="34" max="34" width="13.81640625" style="1" hidden="1" customWidth="1"/>
    <col min="35" max="35" width="14" style="1" hidden="1" customWidth="1"/>
    <col min="36" max="37" width="13.453125" style="1" hidden="1" customWidth="1"/>
    <col min="38" max="38" width="1.453125" style="1" customWidth="1"/>
    <col min="39" max="39" width="14.54296875" style="1" hidden="1" customWidth="1"/>
    <col min="40" max="40" width="13.81640625" style="1" hidden="1" customWidth="1"/>
    <col min="41" max="41" width="14" style="1" hidden="1" customWidth="1"/>
    <col min="42" max="43" width="13.453125" style="1" hidden="1" customWidth="1"/>
    <col min="44" max="44" width="1.453125" style="1" hidden="1" customWidth="1"/>
    <col min="45" max="45" width="14.54296875" style="1" hidden="1" customWidth="1"/>
    <col min="46" max="46" width="13.81640625" style="1" hidden="1" customWidth="1"/>
    <col min="47" max="47" width="14" style="1" hidden="1" customWidth="1"/>
    <col min="48" max="49" width="13.453125" style="1" hidden="1" customWidth="1"/>
    <col min="50" max="50" width="1.453125" style="1" hidden="1" customWidth="1"/>
    <col min="51" max="51" width="14.54296875" style="1" hidden="1" customWidth="1"/>
    <col min="52" max="52" width="13.81640625" style="1" hidden="1" customWidth="1"/>
    <col min="53" max="53" width="14" style="1" hidden="1" customWidth="1"/>
    <col min="54" max="55" width="13.453125" style="1" hidden="1" customWidth="1"/>
    <col min="56" max="56" width="1.453125" style="1" hidden="1" customWidth="1"/>
    <col min="57" max="57" width="14.54296875" style="1" hidden="1" customWidth="1"/>
    <col min="58" max="58" width="13.81640625" style="1" hidden="1" customWidth="1"/>
    <col min="59" max="59" width="14" style="1" hidden="1" customWidth="1"/>
    <col min="60" max="61" width="13.453125" style="1" hidden="1" customWidth="1"/>
    <col min="62" max="62" width="1.453125" style="1" hidden="1" customWidth="1"/>
    <col min="63" max="63" width="14.54296875" style="1" hidden="1" customWidth="1"/>
    <col min="64" max="64" width="13.81640625" style="1" hidden="1" customWidth="1"/>
    <col min="65" max="65" width="14" style="1" hidden="1" customWidth="1"/>
    <col min="66" max="67" width="13.453125" style="1" hidden="1" customWidth="1"/>
    <col min="68" max="68" width="1.453125" style="1" hidden="1" customWidth="1"/>
    <col min="69" max="69" width="14.54296875" style="1" hidden="1" customWidth="1"/>
    <col min="70" max="70" width="13.81640625" style="1" hidden="1" customWidth="1"/>
    <col min="71" max="71" width="14" style="1" hidden="1" customWidth="1"/>
    <col min="72" max="73" width="13.453125" style="1" hidden="1" customWidth="1"/>
    <col min="74" max="74" width="1.453125" style="1" hidden="1" customWidth="1"/>
    <col min="75" max="75" width="14.54296875" style="1" hidden="1" customWidth="1"/>
    <col min="76" max="76" width="13.81640625" style="1" hidden="1" customWidth="1"/>
    <col min="77" max="77" width="14" style="1" hidden="1" customWidth="1"/>
    <col min="78" max="79" width="13.453125" style="1" hidden="1" customWidth="1"/>
    <col min="80" max="80" width="1.453125" style="1" hidden="1" customWidth="1"/>
    <col min="81" max="81" width="14.54296875" style="1" hidden="1" customWidth="1"/>
    <col min="82" max="82" width="13.81640625" style="1" hidden="1" customWidth="1"/>
    <col min="83" max="83" width="14" style="1" hidden="1" customWidth="1"/>
    <col min="84" max="85" width="13.453125" style="1" hidden="1" customWidth="1"/>
    <col min="86" max="86" width="1.453125" style="1" hidden="1" customWidth="1"/>
    <col min="87" max="87" width="14.54296875" style="1" hidden="1" customWidth="1"/>
    <col min="88" max="88" width="13.81640625" style="1" hidden="1" customWidth="1"/>
    <col min="89" max="89" width="14" style="1" hidden="1" customWidth="1"/>
    <col min="90" max="91" width="13.453125" style="1" hidden="1" customWidth="1"/>
    <col min="92" max="92" width="1.453125" style="1" hidden="1" customWidth="1"/>
    <col min="93" max="93" width="14.54296875" style="1" hidden="1" customWidth="1"/>
    <col min="94" max="94" width="13.81640625" style="1" hidden="1" customWidth="1"/>
    <col min="95" max="95" width="14" style="1" hidden="1" customWidth="1"/>
    <col min="96" max="97" width="13.453125" style="1" hidden="1" customWidth="1"/>
    <col min="98" max="98" width="1.453125" style="1" hidden="1" customWidth="1"/>
    <col min="99" max="99" width="14.54296875" style="1" hidden="1" customWidth="1"/>
    <col min="100" max="100" width="13.81640625" style="1" hidden="1" customWidth="1"/>
    <col min="101" max="101" width="14" style="1" hidden="1" customWidth="1"/>
    <col min="102" max="103" width="13.453125" style="1" hidden="1" customWidth="1"/>
    <col min="104" max="104" width="1.453125" style="1" hidden="1" customWidth="1"/>
    <col min="105" max="105" width="14.54296875" style="1" hidden="1" customWidth="1"/>
    <col min="106" max="106" width="13.81640625" style="1" hidden="1" customWidth="1"/>
    <col min="107" max="107" width="14" style="1" hidden="1" customWidth="1"/>
    <col min="108" max="109" width="13.453125" style="1" hidden="1" customWidth="1"/>
    <col min="110" max="110" width="1.453125" style="1" hidden="1" customWidth="1"/>
    <col min="111" max="111" width="14.54296875" style="1" customWidth="1"/>
    <col min="112" max="112" width="13.81640625" style="1" customWidth="1"/>
    <col min="113" max="113" width="14" style="1" customWidth="1"/>
    <col min="114" max="115" width="13.453125" style="1" customWidth="1"/>
    <col min="116" max="116" width="1.453125" style="1" customWidth="1"/>
    <col min="117" max="117" width="14.54296875" style="1" customWidth="1"/>
    <col min="118" max="118" width="13.81640625" style="1" customWidth="1"/>
    <col min="119" max="119" width="14" style="1" customWidth="1"/>
    <col min="120" max="121" width="13.453125" style="1" customWidth="1"/>
    <col min="122" max="122" width="1.453125" style="1" customWidth="1"/>
    <col min="123" max="123" width="14.54296875" style="1" customWidth="1"/>
    <col min="124" max="124" width="13.81640625" style="1" customWidth="1"/>
    <col min="125" max="125" width="14" style="1" customWidth="1"/>
    <col min="126" max="127" width="13.453125" style="1" customWidth="1"/>
    <col min="128" max="128" width="1.453125" style="1" customWidth="1"/>
    <col min="129" max="129" width="14.54296875" style="1" customWidth="1"/>
    <col min="130" max="130" width="13.81640625" style="1" customWidth="1"/>
    <col min="131" max="131" width="14" style="1" customWidth="1"/>
    <col min="132" max="133" width="13.453125" style="1" customWidth="1"/>
    <col min="134" max="134" width="1.453125" style="1" customWidth="1"/>
    <col min="135" max="135" width="14.54296875" style="1" customWidth="1"/>
    <col min="136" max="136" width="13.81640625" style="1" customWidth="1"/>
    <col min="137" max="137" width="14" style="1" customWidth="1"/>
    <col min="138" max="139" width="13.453125" style="1" customWidth="1"/>
    <col min="140" max="140" width="1.453125" style="1" customWidth="1"/>
    <col min="141" max="141" width="14.54296875" style="1" customWidth="1"/>
    <col min="142" max="142" width="13.81640625" style="1" customWidth="1"/>
    <col min="143" max="143" width="14" style="1" customWidth="1"/>
    <col min="144" max="145" width="13.453125" style="1" customWidth="1"/>
    <col min="146" max="146" width="1.453125" style="1" customWidth="1"/>
    <col min="147" max="147" width="14.54296875" style="1" customWidth="1"/>
    <col min="148" max="148" width="13.81640625" style="1" customWidth="1"/>
    <col min="149" max="149" width="14" style="1" customWidth="1"/>
    <col min="150" max="151" width="13.453125" style="1" customWidth="1"/>
    <col min="152" max="152" width="1.453125" style="1" customWidth="1"/>
    <col min="153" max="153" width="14.54296875" style="1" customWidth="1"/>
    <col min="154" max="154" width="13.81640625" style="1" customWidth="1"/>
    <col min="155" max="155" width="14" style="1" customWidth="1"/>
    <col min="156" max="157" width="13.453125" style="1" customWidth="1"/>
    <col min="158" max="158" width="1.453125" style="1" customWidth="1"/>
    <col min="159" max="159" width="14.54296875" style="1" customWidth="1"/>
    <col min="160" max="160" width="13.81640625" style="1" customWidth="1"/>
    <col min="161" max="161" width="14" style="1" customWidth="1"/>
    <col min="162" max="163" width="13.453125" style="1" customWidth="1"/>
    <col min="164" max="164" width="1.453125" style="1" customWidth="1"/>
    <col min="165" max="165" width="14.54296875" style="1" customWidth="1"/>
    <col min="166" max="166" width="13.81640625" style="1" customWidth="1"/>
    <col min="167" max="167" width="14" style="1" customWidth="1"/>
    <col min="168" max="169" width="13.453125" style="1" customWidth="1"/>
    <col min="170" max="170" width="1.453125" style="1" customWidth="1"/>
    <col min="171" max="171" width="14.54296875" style="1" customWidth="1"/>
    <col min="172" max="172" width="13.81640625" style="1" customWidth="1"/>
    <col min="173" max="173" width="14" style="1" customWidth="1"/>
    <col min="174" max="175" width="13.453125" style="1" customWidth="1"/>
    <col min="176" max="176" width="1.453125" style="1" customWidth="1"/>
    <col min="177" max="177" width="14.54296875" style="1" customWidth="1"/>
    <col min="178" max="178" width="13.81640625" style="1" customWidth="1"/>
    <col min="179" max="179" width="14" style="1" customWidth="1"/>
    <col min="180" max="181" width="13.453125" style="1" customWidth="1"/>
    <col min="182" max="16384" width="9" style="1"/>
  </cols>
  <sheetData>
    <row r="1" spans="1:181" x14ac:dyDescent="0.35">
      <c r="A1" s="130" t="s">
        <v>252</v>
      </c>
    </row>
    <row r="2" spans="1:181" ht="15" thickBot="1" x14ac:dyDescent="0.4"/>
    <row r="3" spans="1:181" x14ac:dyDescent="0.35">
      <c r="B3" s="16"/>
      <c r="C3" s="192" t="s">
        <v>5</v>
      </c>
      <c r="D3" s="192"/>
      <c r="E3" s="192"/>
      <c r="F3" s="192"/>
      <c r="G3" s="192"/>
      <c r="H3" s="17"/>
      <c r="I3" s="192" t="s">
        <v>4</v>
      </c>
      <c r="J3" s="192"/>
      <c r="K3" s="192"/>
      <c r="L3" s="192"/>
      <c r="M3" s="192"/>
      <c r="N3" s="17"/>
      <c r="O3" s="192" t="s">
        <v>3</v>
      </c>
      <c r="P3" s="192"/>
      <c r="Q3" s="192"/>
      <c r="R3" s="192"/>
      <c r="S3" s="192"/>
      <c r="T3" s="17"/>
      <c r="U3" s="192" t="s">
        <v>2</v>
      </c>
      <c r="V3" s="192"/>
      <c r="W3" s="192"/>
      <c r="X3" s="192"/>
      <c r="Y3" s="192"/>
      <c r="Z3" s="17"/>
      <c r="AA3" s="192" t="s">
        <v>1</v>
      </c>
      <c r="AB3" s="192"/>
      <c r="AC3" s="192"/>
      <c r="AD3" s="192"/>
      <c r="AE3" s="192"/>
      <c r="AF3" s="17"/>
      <c r="AG3" s="192" t="s">
        <v>45</v>
      </c>
      <c r="AH3" s="192"/>
      <c r="AI3" s="192"/>
      <c r="AJ3" s="192"/>
      <c r="AK3" s="192"/>
      <c r="AL3" s="17"/>
      <c r="AM3" s="192" t="s">
        <v>283</v>
      </c>
      <c r="AN3" s="192"/>
      <c r="AO3" s="192"/>
      <c r="AP3" s="192"/>
      <c r="AQ3" s="192"/>
      <c r="AR3" s="17"/>
      <c r="AS3" s="192" t="s">
        <v>284</v>
      </c>
      <c r="AT3" s="192"/>
      <c r="AU3" s="192"/>
      <c r="AV3" s="192"/>
      <c r="AW3" s="192"/>
      <c r="AX3" s="17"/>
      <c r="AY3" s="192" t="s">
        <v>285</v>
      </c>
      <c r="AZ3" s="192"/>
      <c r="BA3" s="192"/>
      <c r="BB3" s="192"/>
      <c r="BC3" s="192"/>
      <c r="BD3" s="17"/>
      <c r="BE3" s="192" t="s">
        <v>286</v>
      </c>
      <c r="BF3" s="192"/>
      <c r="BG3" s="192"/>
      <c r="BH3" s="192"/>
      <c r="BI3" s="192"/>
      <c r="BJ3" s="17"/>
      <c r="BK3" s="192" t="s">
        <v>302</v>
      </c>
      <c r="BL3" s="192"/>
      <c r="BM3" s="192"/>
      <c r="BN3" s="192"/>
      <c r="BO3" s="192"/>
      <c r="BP3" s="17"/>
      <c r="BQ3" s="192" t="s">
        <v>305</v>
      </c>
      <c r="BR3" s="192"/>
      <c r="BS3" s="192"/>
      <c r="BT3" s="192"/>
      <c r="BU3" s="192"/>
      <c r="BV3" s="17"/>
      <c r="BW3" s="192" t="s">
        <v>310</v>
      </c>
      <c r="BX3" s="192"/>
      <c r="BY3" s="192"/>
      <c r="BZ3" s="192"/>
      <c r="CA3" s="192"/>
      <c r="CB3" s="17"/>
      <c r="CC3" s="192" t="s">
        <v>313</v>
      </c>
      <c r="CD3" s="192"/>
      <c r="CE3" s="192"/>
      <c r="CF3" s="192"/>
      <c r="CG3" s="192"/>
      <c r="CH3" s="17"/>
      <c r="CI3" s="192" t="s">
        <v>318</v>
      </c>
      <c r="CJ3" s="192"/>
      <c r="CK3" s="192"/>
      <c r="CL3" s="192"/>
      <c r="CM3" s="192"/>
      <c r="CN3" s="17"/>
      <c r="CO3" s="192" t="s">
        <v>329</v>
      </c>
      <c r="CP3" s="192"/>
      <c r="CQ3" s="192"/>
      <c r="CR3" s="192"/>
      <c r="CS3" s="192"/>
      <c r="CT3" s="17"/>
      <c r="CU3" s="192" t="s">
        <v>332</v>
      </c>
      <c r="CV3" s="192"/>
      <c r="CW3" s="192"/>
      <c r="CX3" s="192"/>
      <c r="CY3" s="192"/>
      <c r="CZ3" s="17"/>
      <c r="DA3" s="192" t="s">
        <v>350</v>
      </c>
      <c r="DB3" s="192"/>
      <c r="DC3" s="192"/>
      <c r="DD3" s="192"/>
      <c r="DE3" s="192"/>
      <c r="DF3" s="17"/>
      <c r="DG3" s="192" t="s">
        <v>361</v>
      </c>
      <c r="DH3" s="192"/>
      <c r="DI3" s="192"/>
      <c r="DJ3" s="192"/>
      <c r="DK3" s="192"/>
      <c r="DL3" s="17"/>
      <c r="DM3" s="192" t="s">
        <v>363</v>
      </c>
      <c r="DN3" s="192"/>
      <c r="DO3" s="192"/>
      <c r="DP3" s="192"/>
      <c r="DQ3" s="192"/>
      <c r="DR3" s="17"/>
      <c r="DS3" s="192" t="s">
        <v>364</v>
      </c>
      <c r="DT3" s="192"/>
      <c r="DU3" s="192"/>
      <c r="DV3" s="192"/>
      <c r="DW3" s="192"/>
      <c r="DX3" s="17"/>
      <c r="DY3" s="192" t="s">
        <v>365</v>
      </c>
      <c r="DZ3" s="192"/>
      <c r="EA3" s="192"/>
      <c r="EB3" s="192"/>
      <c r="EC3" s="192"/>
      <c r="ED3" s="17"/>
      <c r="EE3" s="192" t="s">
        <v>395</v>
      </c>
      <c r="EF3" s="192"/>
      <c r="EG3" s="192"/>
      <c r="EH3" s="192"/>
      <c r="EI3" s="192"/>
      <c r="EJ3" s="17"/>
      <c r="EK3" s="192" t="s">
        <v>396</v>
      </c>
      <c r="EL3" s="192"/>
      <c r="EM3" s="192"/>
      <c r="EN3" s="192"/>
      <c r="EO3" s="192"/>
      <c r="EP3" s="17"/>
      <c r="EQ3" s="192" t="s">
        <v>397</v>
      </c>
      <c r="ER3" s="192"/>
      <c r="ES3" s="192"/>
      <c r="ET3" s="192"/>
      <c r="EU3" s="192"/>
      <c r="EV3" s="17"/>
      <c r="EW3" s="192" t="s">
        <v>398</v>
      </c>
      <c r="EX3" s="192"/>
      <c r="EY3" s="192"/>
      <c r="EZ3" s="192"/>
      <c r="FA3" s="192"/>
      <c r="FB3" s="17"/>
      <c r="FC3" s="192" t="s">
        <v>415</v>
      </c>
      <c r="FD3" s="192"/>
      <c r="FE3" s="192"/>
      <c r="FF3" s="192"/>
      <c r="FG3" s="192"/>
      <c r="FI3" s="192" t="s">
        <v>417</v>
      </c>
      <c r="FJ3" s="192"/>
      <c r="FK3" s="192"/>
      <c r="FL3" s="192"/>
      <c r="FM3" s="192"/>
      <c r="FO3" s="192" t="s">
        <v>418</v>
      </c>
      <c r="FP3" s="192"/>
      <c r="FQ3" s="192"/>
      <c r="FR3" s="192"/>
      <c r="FS3" s="192"/>
      <c r="FU3" s="192" t="s">
        <v>420</v>
      </c>
      <c r="FV3" s="192"/>
      <c r="FW3" s="192"/>
      <c r="FX3" s="192"/>
      <c r="FY3" s="192"/>
    </row>
    <row r="4" spans="1:181" ht="39" x14ac:dyDescent="0.35">
      <c r="B4" s="9" t="s">
        <v>32</v>
      </c>
      <c r="C4" s="9" t="s">
        <v>40</v>
      </c>
      <c r="D4" s="9" t="s">
        <v>37</v>
      </c>
      <c r="E4" s="9" t="s">
        <v>41</v>
      </c>
      <c r="F4" s="9" t="s">
        <v>42</v>
      </c>
      <c r="G4" s="9" t="s">
        <v>43</v>
      </c>
      <c r="H4" s="18"/>
      <c r="I4" s="9" t="s">
        <v>40</v>
      </c>
      <c r="J4" s="9" t="s">
        <v>37</v>
      </c>
      <c r="K4" s="9" t="s">
        <v>41</v>
      </c>
      <c r="L4" s="9" t="s">
        <v>42</v>
      </c>
      <c r="M4" s="9" t="s">
        <v>43</v>
      </c>
      <c r="N4" s="18"/>
      <c r="O4" s="9" t="s">
        <v>40</v>
      </c>
      <c r="P4" s="9" t="s">
        <v>37</v>
      </c>
      <c r="Q4" s="9" t="s">
        <v>41</v>
      </c>
      <c r="R4" s="9" t="s">
        <v>42</v>
      </c>
      <c r="S4" s="9" t="s">
        <v>43</v>
      </c>
      <c r="T4" s="18"/>
      <c r="U4" s="9" t="s">
        <v>40</v>
      </c>
      <c r="V4" s="9" t="s">
        <v>37</v>
      </c>
      <c r="W4" s="9" t="s">
        <v>41</v>
      </c>
      <c r="X4" s="9" t="s">
        <v>42</v>
      </c>
      <c r="Y4" s="9" t="s">
        <v>43</v>
      </c>
      <c r="Z4" s="18"/>
      <c r="AA4" s="9" t="s">
        <v>40</v>
      </c>
      <c r="AB4" s="9" t="s">
        <v>37</v>
      </c>
      <c r="AC4" s="9" t="s">
        <v>41</v>
      </c>
      <c r="AD4" s="9" t="s">
        <v>42</v>
      </c>
      <c r="AE4" s="9" t="s">
        <v>43</v>
      </c>
      <c r="AF4" s="18"/>
      <c r="AG4" s="9" t="s">
        <v>40</v>
      </c>
      <c r="AH4" s="9" t="s">
        <v>37</v>
      </c>
      <c r="AI4" s="9" t="s">
        <v>41</v>
      </c>
      <c r="AJ4" s="9" t="s">
        <v>42</v>
      </c>
      <c r="AK4" s="9" t="s">
        <v>43</v>
      </c>
      <c r="AL4" s="18"/>
      <c r="AM4" s="9" t="s">
        <v>40</v>
      </c>
      <c r="AN4" s="9" t="s">
        <v>393</v>
      </c>
      <c r="AO4" s="9" t="s">
        <v>41</v>
      </c>
      <c r="AP4" s="9" t="s">
        <v>42</v>
      </c>
      <c r="AQ4" s="9" t="s">
        <v>43</v>
      </c>
      <c r="AR4" s="18"/>
      <c r="AS4" s="9" t="s">
        <v>40</v>
      </c>
      <c r="AT4" s="9" t="s">
        <v>393</v>
      </c>
      <c r="AU4" s="9" t="s">
        <v>41</v>
      </c>
      <c r="AV4" s="9" t="s">
        <v>42</v>
      </c>
      <c r="AW4" s="9" t="s">
        <v>43</v>
      </c>
      <c r="AX4" s="18"/>
      <c r="AY4" s="9" t="s">
        <v>40</v>
      </c>
      <c r="AZ4" s="9" t="s">
        <v>393</v>
      </c>
      <c r="BA4" s="9" t="s">
        <v>41</v>
      </c>
      <c r="BB4" s="9" t="s">
        <v>42</v>
      </c>
      <c r="BC4" s="9" t="s">
        <v>43</v>
      </c>
      <c r="BD4" s="18"/>
      <c r="BE4" s="9" t="s">
        <v>40</v>
      </c>
      <c r="BF4" s="9" t="s">
        <v>393</v>
      </c>
      <c r="BG4" s="9" t="s">
        <v>41</v>
      </c>
      <c r="BH4" s="9" t="s">
        <v>42</v>
      </c>
      <c r="BI4" s="9" t="s">
        <v>43</v>
      </c>
      <c r="BJ4" s="18"/>
      <c r="BK4" s="9" t="s">
        <v>40</v>
      </c>
      <c r="BL4" s="9" t="s">
        <v>393</v>
      </c>
      <c r="BM4" s="9" t="s">
        <v>41</v>
      </c>
      <c r="BN4" s="9" t="s">
        <v>42</v>
      </c>
      <c r="BO4" s="9" t="s">
        <v>43</v>
      </c>
      <c r="BP4" s="18"/>
      <c r="BQ4" s="9" t="s">
        <v>40</v>
      </c>
      <c r="BR4" s="9" t="s">
        <v>393</v>
      </c>
      <c r="BS4" s="9" t="s">
        <v>41</v>
      </c>
      <c r="BT4" s="9" t="s">
        <v>42</v>
      </c>
      <c r="BU4" s="9" t="s">
        <v>43</v>
      </c>
      <c r="BV4" s="18"/>
      <c r="BW4" s="9" t="s">
        <v>40</v>
      </c>
      <c r="BX4" s="9" t="s">
        <v>393</v>
      </c>
      <c r="BY4" s="9" t="s">
        <v>41</v>
      </c>
      <c r="BZ4" s="9" t="s">
        <v>42</v>
      </c>
      <c r="CA4" s="9" t="s">
        <v>43</v>
      </c>
      <c r="CB4" s="18"/>
      <c r="CC4" s="9" t="s">
        <v>40</v>
      </c>
      <c r="CD4" s="9" t="s">
        <v>393</v>
      </c>
      <c r="CE4" s="9" t="s">
        <v>41</v>
      </c>
      <c r="CF4" s="9" t="s">
        <v>42</v>
      </c>
      <c r="CG4" s="9" t="s">
        <v>43</v>
      </c>
      <c r="CH4" s="18"/>
      <c r="CI4" s="9" t="s">
        <v>40</v>
      </c>
      <c r="CJ4" s="9" t="s">
        <v>393</v>
      </c>
      <c r="CK4" s="9" t="s">
        <v>41</v>
      </c>
      <c r="CL4" s="9" t="s">
        <v>42</v>
      </c>
      <c r="CM4" s="9" t="s">
        <v>43</v>
      </c>
      <c r="CN4" s="18"/>
      <c r="CO4" s="9" t="s">
        <v>40</v>
      </c>
      <c r="CP4" s="9" t="s">
        <v>393</v>
      </c>
      <c r="CQ4" s="9" t="s">
        <v>41</v>
      </c>
      <c r="CR4" s="9" t="s">
        <v>42</v>
      </c>
      <c r="CS4" s="9" t="s">
        <v>43</v>
      </c>
      <c r="CT4" s="18"/>
      <c r="CU4" s="9" t="s">
        <v>40</v>
      </c>
      <c r="CV4" s="9" t="s">
        <v>393</v>
      </c>
      <c r="CW4" s="9" t="s">
        <v>41</v>
      </c>
      <c r="CX4" s="9" t="s">
        <v>42</v>
      </c>
      <c r="CY4" s="9" t="s">
        <v>43</v>
      </c>
      <c r="CZ4" s="18"/>
      <c r="DA4" s="9" t="s">
        <v>40</v>
      </c>
      <c r="DB4" s="9" t="s">
        <v>393</v>
      </c>
      <c r="DC4" s="9" t="s">
        <v>41</v>
      </c>
      <c r="DD4" s="9" t="s">
        <v>42</v>
      </c>
      <c r="DE4" s="9" t="s">
        <v>43</v>
      </c>
      <c r="DF4" s="18"/>
      <c r="DG4" s="9" t="s">
        <v>40</v>
      </c>
      <c r="DH4" s="9" t="s">
        <v>393</v>
      </c>
      <c r="DI4" s="9" t="s">
        <v>41</v>
      </c>
      <c r="DJ4" s="9" t="s">
        <v>42</v>
      </c>
      <c r="DK4" s="9" t="s">
        <v>43</v>
      </c>
      <c r="DL4" s="18"/>
      <c r="DM4" s="9" t="s">
        <v>40</v>
      </c>
      <c r="DN4" s="9" t="s">
        <v>393</v>
      </c>
      <c r="DO4" s="9" t="s">
        <v>41</v>
      </c>
      <c r="DP4" s="9" t="s">
        <v>42</v>
      </c>
      <c r="DQ4" s="9" t="s">
        <v>43</v>
      </c>
      <c r="DR4" s="18"/>
      <c r="DS4" s="9" t="s">
        <v>40</v>
      </c>
      <c r="DT4" s="9" t="s">
        <v>393</v>
      </c>
      <c r="DU4" s="9" t="s">
        <v>41</v>
      </c>
      <c r="DV4" s="9" t="s">
        <v>42</v>
      </c>
      <c r="DW4" s="9" t="s">
        <v>43</v>
      </c>
      <c r="DX4" s="18"/>
      <c r="DY4" s="9" t="s">
        <v>40</v>
      </c>
      <c r="DZ4" s="9" t="s">
        <v>393</v>
      </c>
      <c r="EA4" s="9" t="s">
        <v>41</v>
      </c>
      <c r="EB4" s="9" t="s">
        <v>42</v>
      </c>
      <c r="EC4" s="9" t="s">
        <v>43</v>
      </c>
      <c r="ED4" s="18"/>
      <c r="EE4" s="9" t="s">
        <v>40</v>
      </c>
      <c r="EF4" s="9" t="s">
        <v>393</v>
      </c>
      <c r="EG4" s="9" t="s">
        <v>41</v>
      </c>
      <c r="EH4" s="9" t="s">
        <v>42</v>
      </c>
      <c r="EI4" s="9" t="s">
        <v>43</v>
      </c>
      <c r="EJ4" s="18"/>
      <c r="EK4" s="9" t="s">
        <v>40</v>
      </c>
      <c r="EL4" s="9" t="s">
        <v>393</v>
      </c>
      <c r="EM4" s="9" t="s">
        <v>41</v>
      </c>
      <c r="EN4" s="9" t="s">
        <v>42</v>
      </c>
      <c r="EO4" s="9" t="s">
        <v>43</v>
      </c>
      <c r="EP4" s="18"/>
      <c r="EQ4" s="9" t="s">
        <v>40</v>
      </c>
      <c r="ER4" s="9" t="s">
        <v>393</v>
      </c>
      <c r="ES4" s="9" t="s">
        <v>41</v>
      </c>
      <c r="ET4" s="9" t="s">
        <v>42</v>
      </c>
      <c r="EU4" s="9" t="s">
        <v>43</v>
      </c>
      <c r="EV4" s="18"/>
      <c r="EW4" s="9" t="s">
        <v>40</v>
      </c>
      <c r="EX4" s="9" t="s">
        <v>393</v>
      </c>
      <c r="EY4" s="9" t="s">
        <v>41</v>
      </c>
      <c r="EZ4" s="9" t="s">
        <v>42</v>
      </c>
      <c r="FA4" s="9" t="s">
        <v>43</v>
      </c>
      <c r="FB4" s="18"/>
      <c r="FC4" s="9" t="s">
        <v>40</v>
      </c>
      <c r="FD4" s="9" t="s">
        <v>393</v>
      </c>
      <c r="FE4" s="9" t="s">
        <v>41</v>
      </c>
      <c r="FF4" s="9" t="s">
        <v>42</v>
      </c>
      <c r="FG4" s="9" t="s">
        <v>43</v>
      </c>
      <c r="FI4" s="9" t="s">
        <v>40</v>
      </c>
      <c r="FJ4" s="9" t="s">
        <v>393</v>
      </c>
      <c r="FK4" s="9" t="s">
        <v>41</v>
      </c>
      <c r="FL4" s="9" t="s">
        <v>42</v>
      </c>
      <c r="FM4" s="9" t="s">
        <v>43</v>
      </c>
      <c r="FO4" s="9" t="s">
        <v>40</v>
      </c>
      <c r="FP4" s="9" t="s">
        <v>393</v>
      </c>
      <c r="FQ4" s="9" t="s">
        <v>41</v>
      </c>
      <c r="FR4" s="9" t="s">
        <v>42</v>
      </c>
      <c r="FS4" s="9" t="s">
        <v>43</v>
      </c>
      <c r="FU4" s="9" t="s">
        <v>40</v>
      </c>
      <c r="FV4" s="9" t="s">
        <v>393</v>
      </c>
      <c r="FW4" s="9" t="s">
        <v>41</v>
      </c>
      <c r="FX4" s="9" t="s">
        <v>42</v>
      </c>
      <c r="FY4" s="9" t="s">
        <v>43</v>
      </c>
    </row>
    <row r="5" spans="1:181" x14ac:dyDescent="0.35">
      <c r="B5" s="14" t="s">
        <v>253</v>
      </c>
      <c r="C5" s="21">
        <v>6.1589750830117938E-2</v>
      </c>
      <c r="D5" s="21">
        <v>1.5989750830117937E-2</v>
      </c>
      <c r="E5" s="13">
        <v>8.0331415098787273E-2</v>
      </c>
      <c r="F5" s="13">
        <v>1.6249528687081516E-2</v>
      </c>
      <c r="G5" s="13">
        <v>1.7654337990749891E-2</v>
      </c>
      <c r="H5" s="13"/>
      <c r="I5" s="21">
        <v>0.10004110691351431</v>
      </c>
      <c r="J5" s="21">
        <v>5.764110691351431E-2</v>
      </c>
      <c r="K5" s="13">
        <v>0.11483840728759853</v>
      </c>
      <c r="L5" s="13">
        <v>1.6823612715261005E-2</v>
      </c>
      <c r="M5" s="13">
        <v>-3.3162193264864026E-3</v>
      </c>
      <c r="N5" s="13"/>
      <c r="O5" s="21">
        <v>9.7753044803605693E-2</v>
      </c>
      <c r="P5" s="21">
        <v>5.7457736484918642E-2</v>
      </c>
      <c r="Q5" s="13">
        <v>0.11101277880732452</v>
      </c>
      <c r="R5" s="13">
        <v>8.2408828439688442E-3</v>
      </c>
      <c r="S5" s="13">
        <v>3.8635154284158979E-3</v>
      </c>
      <c r="T5" s="13"/>
      <c r="U5" s="21">
        <v>8.3518192729130414E-2</v>
      </c>
      <c r="V5" s="21">
        <v>4.4718192729130413E-2</v>
      </c>
      <c r="W5" s="13">
        <v>8.8124298499478559E-2</v>
      </c>
      <c r="X5" s="13">
        <v>-5.7442062783960024E-3</v>
      </c>
      <c r="Y5" s="13">
        <v>1.0131948478520059E-2</v>
      </c>
      <c r="Z5" s="13"/>
      <c r="AA5" s="21">
        <v>7.2000539154299492E-2</v>
      </c>
      <c r="AB5" s="21">
        <v>3.5900539154299492E-2</v>
      </c>
      <c r="AC5" s="13">
        <v>7.5797529509924022E-2</v>
      </c>
      <c r="AD5" s="13">
        <v>-5.6336034143849023E-3</v>
      </c>
      <c r="AE5" s="13">
        <v>9.5902745097444786E-3</v>
      </c>
      <c r="AF5" s="13"/>
      <c r="AG5" s="21">
        <v>4.8234280792420314E-2</v>
      </c>
      <c r="AH5" s="21">
        <v>1.5234280792420313E-2</v>
      </c>
      <c r="AI5" s="13">
        <v>5.5331937370245221E-2</v>
      </c>
      <c r="AJ5" s="13">
        <v>-9.000000000000008E-3</v>
      </c>
      <c r="AK5" s="13">
        <v>1.6169865905661718E-2</v>
      </c>
      <c r="AL5" s="13"/>
      <c r="AM5" s="21">
        <v>5.3656470485837993E-2</v>
      </c>
      <c r="AN5" s="21">
        <v>2.2756470485837992E-2</v>
      </c>
      <c r="AO5" s="13">
        <v>6.4836006938086888E-2</v>
      </c>
      <c r="AP5" s="13">
        <v>-6.8056928086775992E-3</v>
      </c>
      <c r="AQ5" s="13">
        <v>1.7876257013420771E-2</v>
      </c>
      <c r="AR5" s="13"/>
      <c r="AS5" s="21">
        <v>2.0518539778300537E-2</v>
      </c>
      <c r="AT5" s="21">
        <v>-6.681460221699461E-3</v>
      </c>
      <c r="AU5" s="13">
        <v>2.5126077624461951E-2</v>
      </c>
      <c r="AV5" s="13">
        <v>-7.6973284336879777E-3</v>
      </c>
      <c r="AW5" s="13">
        <v>1.2702046485909113E-2</v>
      </c>
      <c r="AX5" s="13"/>
      <c r="AY5" s="21">
        <v>-1.9366778599145481E-3</v>
      </c>
      <c r="AZ5" s="21">
        <v>-2.9536677859914547E-2</v>
      </c>
      <c r="BA5" s="13">
        <v>-5.303891577259856E-3</v>
      </c>
      <c r="BB5" s="13">
        <v>-7.8256085216323878E-3</v>
      </c>
      <c r="BC5" s="13">
        <v>4.9506339812521727E-3</v>
      </c>
      <c r="BD5" s="13"/>
      <c r="BE5" s="21">
        <v>-1.1379027033945536E-2</v>
      </c>
      <c r="BF5" s="21">
        <v>-3.9079027033945536E-2</v>
      </c>
      <c r="BG5" s="13">
        <v>3.8399989372468468E-3</v>
      </c>
      <c r="BH5" s="13">
        <v>-1.4735722244072713E-2</v>
      </c>
      <c r="BI5" s="13">
        <v>3.1562882062398101E-2</v>
      </c>
      <c r="BJ5" s="13"/>
      <c r="BK5" s="21">
        <v>-4.074264330394417E-2</v>
      </c>
      <c r="BL5" s="21">
        <v>-6.8242643303944167E-2</v>
      </c>
      <c r="BM5" s="13">
        <v>-1.9306040483691E-2</v>
      </c>
      <c r="BN5" s="13">
        <v>-8.7303031212574433E-3</v>
      </c>
      <c r="BO5" s="13">
        <v>3.6157674130768758E-2</v>
      </c>
      <c r="BP5" s="13"/>
      <c r="BQ5" s="21">
        <v>-2.0400417804889326E-2</v>
      </c>
      <c r="BR5" s="21">
        <v>-5.7200417804889325E-2</v>
      </c>
      <c r="BS5" s="13">
        <v>-3.1338851564783887E-3</v>
      </c>
      <c r="BT5" s="13">
        <v>-9.1562550159781653E-3</v>
      </c>
      <c r="BU5" s="13">
        <v>2.9796809741321484E-2</v>
      </c>
      <c r="BV5" s="13"/>
      <c r="BW5" s="21">
        <v>2.040128658992435E-2</v>
      </c>
      <c r="BX5" s="21">
        <v>-2.2598713410075646E-2</v>
      </c>
      <c r="BY5" s="13">
        <v>3.5197590429320025E-2</v>
      </c>
      <c r="BZ5" s="13">
        <v>6.9596018827344786E-4</v>
      </c>
      <c r="CA5" s="13">
        <v>1.6685768662032974E-2</v>
      </c>
      <c r="CB5" s="13"/>
      <c r="CC5" s="21">
        <v>5.8004710831544459E-2</v>
      </c>
      <c r="CD5" s="21">
        <v>2.5047108315444586E-3</v>
      </c>
      <c r="CE5" s="13">
        <v>7.2881012502982845E-2</v>
      </c>
      <c r="CF5" s="13">
        <v>3.0000000000000001E-3</v>
      </c>
      <c r="CG5" s="13">
        <v>1.1809207426586088E-2</v>
      </c>
      <c r="CH5" s="13"/>
      <c r="CI5" s="21">
        <v>9.1986263252501255E-2</v>
      </c>
      <c r="CJ5" s="21">
        <v>2.7286263252501261E-2</v>
      </c>
      <c r="CK5" s="13">
        <v>8.4810244540707957E-2</v>
      </c>
      <c r="CL5" s="13">
        <v>-4.4835734666025528E-3</v>
      </c>
      <c r="CM5" s="13">
        <v>-1.6847458576163543E-3</v>
      </c>
      <c r="CN5" s="13"/>
      <c r="CO5" s="21">
        <v>9.973101099249293E-2</v>
      </c>
      <c r="CP5" s="21">
        <v>2.8731010992492936E-2</v>
      </c>
      <c r="CQ5" s="13">
        <v>9.9334789466351436E-2</v>
      </c>
      <c r="CR5" s="13">
        <v>-2.0840858431496745E-3</v>
      </c>
      <c r="CS5" s="13">
        <v>1.9459492295954561E-3</v>
      </c>
      <c r="CT5" s="13"/>
      <c r="CU5" s="21">
        <v>6.923720723679061E-2</v>
      </c>
      <c r="CV5" s="21">
        <v>-6.7627927632093882E-3</v>
      </c>
      <c r="CW5" s="13">
        <v>6.8522798693748221E-2</v>
      </c>
      <c r="CX5" s="13">
        <v>-4.5879264536614617E-3</v>
      </c>
      <c r="CY5" s="13">
        <v>4.4809770996308007E-3</v>
      </c>
      <c r="CZ5" s="13"/>
      <c r="DA5" s="21">
        <v>7.7549314903411881E-2</v>
      </c>
      <c r="DB5" s="21">
        <v>-7.5068509658811344E-4</v>
      </c>
      <c r="DC5" s="13">
        <v>9.6521546026475002E-2</v>
      </c>
      <c r="DD5" s="13">
        <v>1.0263932401222142E-4</v>
      </c>
      <c r="DE5" s="13">
        <v>1.7423009478292339E-2</v>
      </c>
      <c r="DF5" s="13"/>
      <c r="DG5" s="21">
        <v>9.020155331380364E-2</v>
      </c>
      <c r="DH5" s="21">
        <v>1.2401553313803645E-2</v>
      </c>
      <c r="DI5" s="13">
        <v>0.10651521227015648</v>
      </c>
      <c r="DJ5" s="13">
        <v>-1.1840498375689235E-3</v>
      </c>
      <c r="DK5" s="13">
        <v>1.6234399900404206E-2</v>
      </c>
      <c r="DL5" s="13"/>
      <c r="DM5" s="21">
        <v>7.0777243399845924E-2</v>
      </c>
      <c r="DN5" s="21">
        <v>-2.2275660015406984E-4</v>
      </c>
      <c r="DO5" s="13">
        <v>8.3833921519839372E-2</v>
      </c>
      <c r="DP5" s="13">
        <v>8.4402345037026816E-3</v>
      </c>
      <c r="DQ5" s="13">
        <v>2.7318743762205777E-3</v>
      </c>
      <c r="DR5" s="13"/>
      <c r="DS5" s="21">
        <v>7.7063879465655072E-2</v>
      </c>
      <c r="DT5" s="21">
        <v>1.4063879465655071E-2</v>
      </c>
      <c r="DU5" s="13">
        <v>9.9441214383576781E-2</v>
      </c>
      <c r="DV5" s="13">
        <v>1.5243451274986386E-2</v>
      </c>
      <c r="DW5" s="13">
        <v>3.6294593470986847E-3</v>
      </c>
      <c r="DX5" s="13"/>
      <c r="DY5" s="21">
        <v>6.6933026065805867E-2</v>
      </c>
      <c r="DZ5" s="21">
        <v>1.5933026065805871E-2</v>
      </c>
      <c r="EA5" s="13">
        <v>8.907558788497294E-2</v>
      </c>
      <c r="EB5" s="13">
        <v>1.9923071391231284E-2</v>
      </c>
      <c r="EC5" s="13">
        <v>-1.2664292801406463E-3</v>
      </c>
      <c r="ED5" s="13"/>
      <c r="EE5" s="21">
        <v>4.2999999999999997E-2</v>
      </c>
      <c r="EF5" s="21">
        <v>-2E-3</v>
      </c>
      <c r="EG5" s="13">
        <v>7.1999999999999995E-2</v>
      </c>
      <c r="EH5" s="13">
        <v>1.9E-2</v>
      </c>
      <c r="EI5" s="13">
        <v>5.0000000000000001E-3</v>
      </c>
      <c r="EJ5" s="13"/>
      <c r="EK5" s="21">
        <v>4.0076122158783978E-2</v>
      </c>
      <c r="EL5" s="21">
        <v>-3.1238778412160245E-3</v>
      </c>
      <c r="EM5" s="13">
        <v>7.3246240588646261E-2</v>
      </c>
      <c r="EN5" s="13">
        <v>2.0458165321345256E-2</v>
      </c>
      <c r="EO5" s="13">
        <v>9.0984976603265544E-3</v>
      </c>
      <c r="EP5" s="13"/>
      <c r="EQ5" s="21">
        <v>4.3671103620864793E-2</v>
      </c>
      <c r="ER5" s="21">
        <v>6.7110362086479636E-4</v>
      </c>
      <c r="ES5" s="13">
        <v>7.1982702418764699E-2</v>
      </c>
      <c r="ET5" s="13">
        <v>1.9429377536690828E-2</v>
      </c>
      <c r="EU5" s="13">
        <v>5.5965731156613074E-3</v>
      </c>
      <c r="EV5" s="13"/>
      <c r="EW5" s="21">
        <v>4.9165371921238155E-2</v>
      </c>
      <c r="EX5" s="21">
        <v>6.165371921238158E-3</v>
      </c>
      <c r="EY5" s="13">
        <v>7.773424600542489E-2</v>
      </c>
      <c r="EZ5" s="13">
        <v>1.890721341940349E-2</v>
      </c>
      <c r="FA5" s="13">
        <v>6.4963898310634871E-3</v>
      </c>
      <c r="FB5" s="13"/>
      <c r="FC5" s="21">
        <v>5.2080129354055593E-2</v>
      </c>
      <c r="FD5" s="21">
        <v>1.0426444484816312E-2</v>
      </c>
      <c r="FE5" s="13">
        <v>6.6072657922512823E-2</v>
      </c>
      <c r="FF5" s="13">
        <v>1.574920942541469E-2</v>
      </c>
      <c r="FG5" s="13">
        <v>-3.717192495611199E-3</v>
      </c>
      <c r="FI5" s="21">
        <v>2.2801762507519401E-2</v>
      </c>
      <c r="FJ5" s="21">
        <v>-1.7198237492480582E-2</v>
      </c>
      <c r="FK5" s="13">
        <v>2.8326277028787539E-2</v>
      </c>
      <c r="FL5" s="13">
        <v>5.3753337574307114E-3</v>
      </c>
      <c r="FM5" s="13">
        <v>-3.6700124933808365E-4</v>
      </c>
      <c r="FO5" s="21">
        <v>4.4433484623611852E-2</v>
      </c>
      <c r="FP5" s="21">
        <v>6.9334846236118533E-3</v>
      </c>
      <c r="FQ5" s="21">
        <v>4.7894117086189292E-2</v>
      </c>
      <c r="FR5" s="13">
        <v>8.854358584054256E-3</v>
      </c>
      <c r="FS5" s="13">
        <v>-6.1813600354396758E-3</v>
      </c>
      <c r="FU5" s="21">
        <v>4.1408501242909068E-2</v>
      </c>
      <c r="FV5" s="21">
        <v>5.6085012429090697E-3</v>
      </c>
      <c r="FW5" s="21">
        <v>4.1915727820636572E-2</v>
      </c>
      <c r="FX5" s="13">
        <v>1.165797268323554E-3</v>
      </c>
      <c r="FY5" s="13">
        <v>-7.5652838191286875E-4</v>
      </c>
    </row>
    <row r="6" spans="1:181" x14ac:dyDescent="0.35">
      <c r="B6" s="14" t="s">
        <v>25</v>
      </c>
      <c r="C6" s="21">
        <v>7.2324935229540713E-2</v>
      </c>
      <c r="D6" s="21">
        <v>2.6724935229540711E-2</v>
      </c>
      <c r="E6" s="13">
        <v>9.4636072993993459E-2</v>
      </c>
      <c r="F6" s="13">
        <v>1.7004785563745961E-2</v>
      </c>
      <c r="G6" s="13">
        <v>2.0806321881975398E-2</v>
      </c>
      <c r="H6" s="13"/>
      <c r="I6" s="21">
        <v>4.7407381429646955E-2</v>
      </c>
      <c r="J6" s="21">
        <v>5.0073814296469552E-3</v>
      </c>
      <c r="K6" s="13">
        <v>6.0043725291831551E-2</v>
      </c>
      <c r="L6" s="13">
        <v>1.3772679342614724E-2</v>
      </c>
      <c r="M6" s="13">
        <v>-1.8524442692445797E-3</v>
      </c>
      <c r="N6" s="13"/>
      <c r="O6" s="21">
        <v>6.8117240277344893E-2</v>
      </c>
      <c r="P6" s="21">
        <v>2.7821931958657842E-2</v>
      </c>
      <c r="Q6" s="13">
        <v>9.0327007714393615E-2</v>
      </c>
      <c r="R6" s="13">
        <v>6.4889329782131799E-3</v>
      </c>
      <c r="S6" s="13">
        <v>1.5847588884873698E-2</v>
      </c>
      <c r="T6" s="13"/>
      <c r="U6" s="21">
        <v>7.2246130078997162E-2</v>
      </c>
      <c r="V6" s="21">
        <v>3.3446130078997161E-2</v>
      </c>
      <c r="W6" s="13">
        <v>8.2821206876823261E-2</v>
      </c>
      <c r="X6" s="13">
        <v>-3.8283698980956515E-6</v>
      </c>
      <c r="Y6" s="13">
        <v>7.8242159611225937E-3</v>
      </c>
      <c r="Z6" s="13"/>
      <c r="AA6" s="21">
        <v>6.4488656267585265E-2</v>
      </c>
      <c r="AB6" s="21">
        <v>2.8388656267585265E-2</v>
      </c>
      <c r="AC6" s="13">
        <v>7.9730380318592253E-2</v>
      </c>
      <c r="AD6" s="13">
        <v>-3.0032520300831145E-3</v>
      </c>
      <c r="AE6" s="13">
        <v>1.4278864277633252E-2</v>
      </c>
      <c r="AF6" s="13"/>
      <c r="AG6" s="21">
        <v>5.1660516605166018E-2</v>
      </c>
      <c r="AH6" s="21">
        <v>1.8660516605166017E-2</v>
      </c>
      <c r="AI6" s="13">
        <v>6.0704144785036052E-2</v>
      </c>
      <c r="AJ6" s="13">
        <v>-2.0000000000000018E-3</v>
      </c>
      <c r="AK6" s="13">
        <v>4.3285589457717766E-3</v>
      </c>
      <c r="AL6" s="13"/>
      <c r="AM6" s="21">
        <v>0.13826942021397559</v>
      </c>
      <c r="AN6" s="21">
        <v>0.10736942021397559</v>
      </c>
      <c r="AO6" s="13">
        <v>0.14831203074604038</v>
      </c>
      <c r="AP6" s="13">
        <v>-3.705451683514327E-3</v>
      </c>
      <c r="AQ6" s="13">
        <v>9.251591396336023E-3</v>
      </c>
      <c r="AR6" s="13"/>
      <c r="AS6" s="21">
        <v>0.10066858020917069</v>
      </c>
      <c r="AT6" s="21">
        <v>7.3468580209170686E-2</v>
      </c>
      <c r="AU6" s="13">
        <v>0.10536529773566583</v>
      </c>
      <c r="AV6" s="13">
        <v>-6.2175965636314112E-3</v>
      </c>
      <c r="AW6" s="13">
        <v>9.237885987818828E-3</v>
      </c>
      <c r="AX6" s="13"/>
      <c r="AY6" s="21">
        <v>7.6346311219031238E-2</v>
      </c>
      <c r="AZ6" s="21">
        <v>4.8746311219031238E-2</v>
      </c>
      <c r="BA6" s="13">
        <v>8.4133013407008406E-2</v>
      </c>
      <c r="BB6" s="13">
        <v>-7.8158749524422921E-3</v>
      </c>
      <c r="BC6" s="13">
        <v>1.6273459869093898E-2</v>
      </c>
      <c r="BD6" s="13"/>
      <c r="BE6" s="21">
        <v>6.4482245880321254E-2</v>
      </c>
      <c r="BF6" s="21">
        <v>3.6782245880321252E-2</v>
      </c>
      <c r="BG6" s="13">
        <v>9.6251220729339559E-2</v>
      </c>
      <c r="BH6" s="13">
        <v>-2.494344738464549E-3</v>
      </c>
      <c r="BI6" s="13">
        <v>3.3117786272967908E-2</v>
      </c>
      <c r="BJ6" s="13"/>
      <c r="BK6" s="21">
        <v>-5.5283320002753156E-2</v>
      </c>
      <c r="BL6" s="21">
        <v>-8.2783320002753152E-2</v>
      </c>
      <c r="BM6" s="13">
        <v>-4.8868275905388114E-2</v>
      </c>
      <c r="BN6" s="13">
        <v>-1.6371126896560506E-2</v>
      </c>
      <c r="BO6" s="13">
        <v>2.4742309523149153E-2</v>
      </c>
      <c r="BP6" s="13"/>
      <c r="BQ6" s="21">
        <v>-4.6495651704993923E-2</v>
      </c>
      <c r="BR6" s="21">
        <v>-8.3295651704993923E-2</v>
      </c>
      <c r="BS6" s="13">
        <v>-4.3512575931814568E-2</v>
      </c>
      <c r="BT6" s="13">
        <v>-1.7056206452175982E-2</v>
      </c>
      <c r="BU6" s="13">
        <v>2.1817664557634009E-2</v>
      </c>
      <c r="BV6" s="13"/>
      <c r="BW6" s="21">
        <v>1.8921012668324799E-2</v>
      </c>
      <c r="BX6" s="21">
        <v>-2.4078987331675197E-2</v>
      </c>
      <c r="BY6" s="13">
        <v>2.6928645722342104E-2</v>
      </c>
      <c r="BZ6" s="13">
        <v>-1.4156446929322275E-2</v>
      </c>
      <c r="CA6" s="13">
        <v>2.3634095277535572E-2</v>
      </c>
      <c r="CB6" s="13"/>
      <c r="CC6" s="21">
        <v>7.7451321965069431E-2</v>
      </c>
      <c r="CD6" s="21">
        <v>2.195132196506943E-2</v>
      </c>
      <c r="CE6" s="13">
        <v>6.3136700716909688E-2</v>
      </c>
      <c r="CF6" s="13">
        <v>-1.1102862756180554E-2</v>
      </c>
      <c r="CG6" s="13">
        <v>-1.2464142611308127E-3</v>
      </c>
      <c r="CH6" s="13"/>
      <c r="CI6" s="21">
        <v>4.5731287939943188E-2</v>
      </c>
      <c r="CJ6" s="21">
        <v>-1.8968712060056805E-2</v>
      </c>
      <c r="CK6" s="13">
        <v>6.9787442753015627E-2</v>
      </c>
      <c r="CL6" s="13">
        <v>1.3644606756074706E-2</v>
      </c>
      <c r="CM6" s="13">
        <v>7.037738621177958E-3</v>
      </c>
      <c r="CN6" s="13"/>
      <c r="CO6" s="21">
        <v>7.0363971435596806E-2</v>
      </c>
      <c r="CP6" s="21">
        <v>-6.3602856440318767E-4</v>
      </c>
      <c r="CQ6" s="13">
        <v>0.12835637849427584</v>
      </c>
      <c r="CR6" s="13">
        <v>2.3812324512592853E-2</v>
      </c>
      <c r="CS6" s="13">
        <v>2.8785057801229641E-2</v>
      </c>
      <c r="CT6" s="13"/>
      <c r="CU6" s="21">
        <v>4.8713086505105085E-2</v>
      </c>
      <c r="CV6" s="21">
        <v>-2.7286913494894913E-2</v>
      </c>
      <c r="CW6" s="13">
        <v>0.11367466170592255</v>
      </c>
      <c r="CX6" s="13">
        <v>1.9894311450173952E-2</v>
      </c>
      <c r="CY6" s="13">
        <v>3.7092033019715531E-2</v>
      </c>
      <c r="CZ6" s="13"/>
      <c r="DA6" s="21">
        <v>3.9300696613396857E-2</v>
      </c>
      <c r="DB6" s="21">
        <v>-3.8999303386603137E-2</v>
      </c>
      <c r="DC6" s="13">
        <v>0.11177014880120417</v>
      </c>
      <c r="DD6" s="13">
        <v>2.3628693422147018E-2</v>
      </c>
      <c r="DE6" s="13">
        <v>4.1741002115782688E-2</v>
      </c>
      <c r="DF6" s="13"/>
      <c r="DG6" s="21">
        <v>3.6785735139759579E-2</v>
      </c>
      <c r="DH6" s="21">
        <v>-4.1014264860240415E-2</v>
      </c>
      <c r="DI6" s="13">
        <v>9.3115477396608748E-2</v>
      </c>
      <c r="DJ6" s="13">
        <v>1.4173471369604007E-2</v>
      </c>
      <c r="DK6" s="13">
        <v>3.6302881787088292E-2</v>
      </c>
      <c r="DL6" s="13"/>
      <c r="DM6" s="21">
        <v>4.5993806973669837E-3</v>
      </c>
      <c r="DN6" s="21">
        <v>-6.640061930263301E-2</v>
      </c>
      <c r="DO6" s="13">
        <v>3.0068549652369603E-2</v>
      </c>
      <c r="DP6" s="13">
        <v>6.635409342037546E-3</v>
      </c>
      <c r="DQ6" s="13">
        <v>1.5740380253493891E-2</v>
      </c>
      <c r="DR6" s="13"/>
      <c r="DS6" s="21">
        <v>2.5358416297013742E-2</v>
      </c>
      <c r="DT6" s="21">
        <v>-3.7641583702986259E-2</v>
      </c>
      <c r="DU6" s="13">
        <v>3.7820808249509286E-2</v>
      </c>
      <c r="DV6" s="13">
        <v>-1.1894475842336716E-3</v>
      </c>
      <c r="DW6" s="13">
        <v>5.2008164680479307E-3</v>
      </c>
      <c r="DX6" s="13"/>
      <c r="DY6" s="21">
        <v>2.3774373812131877E-2</v>
      </c>
      <c r="DZ6" s="21">
        <v>-2.722562618786812E-2</v>
      </c>
      <c r="EA6" s="13">
        <v>3.6962264400040246E-2</v>
      </c>
      <c r="EB6" s="13">
        <v>5.1229900963979391E-3</v>
      </c>
      <c r="EC6" s="13">
        <v>7.4925479627794278E-3</v>
      </c>
      <c r="ED6" s="13"/>
      <c r="EE6" s="21">
        <v>2.9000000000000001E-2</v>
      </c>
      <c r="EF6" s="21">
        <v>1.6E-2</v>
      </c>
      <c r="EG6" s="13">
        <v>4.1000000000000002E-2</v>
      </c>
      <c r="EH6" s="13">
        <v>5.0000000000000001E-3</v>
      </c>
      <c r="EI6" s="13">
        <v>7.0000000000000001E-3</v>
      </c>
      <c r="EJ6" s="13"/>
      <c r="EK6" s="21">
        <v>7.5382103412931389E-2</v>
      </c>
      <c r="EL6" s="21">
        <v>3.2182103412931387E-2</v>
      </c>
      <c r="EM6" s="13">
        <v>8.4755734144154715E-2</v>
      </c>
      <c r="EN6" s="13">
        <v>7.0000000000000001E-3</v>
      </c>
      <c r="EO6" s="13">
        <v>2.2040703413503948E-3</v>
      </c>
      <c r="EP6" s="13"/>
      <c r="EQ6" s="21">
        <v>9.8105512660707328E-2</v>
      </c>
      <c r="ER6" s="21">
        <v>5.5105512660707331E-2</v>
      </c>
      <c r="ES6" s="13">
        <v>0.11053842386588042</v>
      </c>
      <c r="ET6" s="13">
        <v>7.7608841567273767E-3</v>
      </c>
      <c r="EU6" s="13">
        <v>3.3430583950599946E-3</v>
      </c>
      <c r="EV6" s="13"/>
      <c r="EW6" s="21">
        <v>0.15068057615543973</v>
      </c>
      <c r="EX6" s="21">
        <v>0.10768057615543973</v>
      </c>
      <c r="EY6" s="13">
        <v>0.1492027519161474</v>
      </c>
      <c r="EZ6" s="13">
        <v>-2.526715122441292E-3</v>
      </c>
      <c r="FA6" s="13">
        <v>1.2844310709303475E-3</v>
      </c>
      <c r="FB6" s="13"/>
      <c r="FC6" s="21">
        <v>0.16408318132784494</v>
      </c>
      <c r="FD6" s="21">
        <v>0.12242949645860565</v>
      </c>
      <c r="FE6" s="13">
        <v>0.16428770226428013</v>
      </c>
      <c r="FF6" s="13">
        <v>-2.1752246911278528E-3</v>
      </c>
      <c r="FG6" s="13">
        <v>2.391975535627644E-3</v>
      </c>
      <c r="FI6" s="21">
        <v>7.8948621783535566E-2</v>
      </c>
      <c r="FJ6" s="21">
        <v>3.8948621783535566E-2</v>
      </c>
      <c r="FK6" s="13">
        <v>7.2838101138525069E-2</v>
      </c>
      <c r="FL6" s="13">
        <v>-8.9999999999999993E-3</v>
      </c>
      <c r="FM6" s="13">
        <v>2.8233805971733528E-3</v>
      </c>
      <c r="FO6" s="21">
        <v>4.030823007472617E-2</v>
      </c>
      <c r="FP6" s="21">
        <v>2.8082300747261715E-3</v>
      </c>
      <c r="FQ6" s="21">
        <v>2.9967259251772349E-2</v>
      </c>
      <c r="FR6" s="13">
        <v>-9.9515377792107618E-3</v>
      </c>
      <c r="FS6" s="13">
        <v>1.7829842809069518E-4</v>
      </c>
      <c r="FU6" s="21">
        <v>4.3902473509649376E-4</v>
      </c>
      <c r="FV6" s="21">
        <v>-3.5360975264903505E-2</v>
      </c>
      <c r="FW6" s="21">
        <v>-2.9664807018922046E-3</v>
      </c>
      <c r="FX6" s="13">
        <v>-5.1340130110804072E-3</v>
      </c>
      <c r="FY6" s="13">
        <v>1.8316674396483545E-3</v>
      </c>
    </row>
    <row r="7" spans="1:181" x14ac:dyDescent="0.35">
      <c r="B7" s="14" t="s">
        <v>39</v>
      </c>
      <c r="C7" s="21">
        <v>4.9696302292231286E-2</v>
      </c>
      <c r="D7" s="21">
        <v>4.0963022922312839E-3</v>
      </c>
      <c r="E7" s="13">
        <v>0.18580223146486019</v>
      </c>
      <c r="F7" s="13">
        <v>2.4919568308957141E-2</v>
      </c>
      <c r="G7" s="13">
        <v>0.12966219741406149</v>
      </c>
      <c r="H7" s="13"/>
      <c r="I7" s="21">
        <v>4.1858732279433264E-2</v>
      </c>
      <c r="J7" s="21">
        <v>-5.4126772056673628E-4</v>
      </c>
      <c r="K7" s="13">
        <v>0.13139812870314649</v>
      </c>
      <c r="L7" s="13">
        <v>-2.295171371243887E-2</v>
      </c>
      <c r="M7" s="13">
        <v>-9.8894864145614436E-3</v>
      </c>
      <c r="N7" s="13"/>
      <c r="O7" s="21">
        <v>5.6762112974523271E-2</v>
      </c>
      <c r="P7" s="21">
        <v>1.646680465583622E-2</v>
      </c>
      <c r="Q7" s="13">
        <v>0.17981554217478402</v>
      </c>
      <c r="R7" s="13">
        <v>3.0000000000000001E-3</v>
      </c>
      <c r="S7" s="13">
        <v>8.6563063159943443E-3</v>
      </c>
      <c r="T7" s="13"/>
      <c r="U7" s="21">
        <v>6.2258479661512878E-2</v>
      </c>
      <c r="V7" s="21">
        <v>2.3458479661512877E-2</v>
      </c>
      <c r="W7" s="13">
        <v>0.15569932957418509</v>
      </c>
      <c r="X7" s="13">
        <v>-4.3727904680272989E-3</v>
      </c>
      <c r="Y7" s="13">
        <v>4.9165929545431641E-2</v>
      </c>
      <c r="Z7" s="13"/>
      <c r="AA7" s="21">
        <v>6.7780359188992501E-2</v>
      </c>
      <c r="AB7" s="21">
        <v>3.16803591889925E-2</v>
      </c>
      <c r="AC7" s="13">
        <v>9.9815037938589812E-2</v>
      </c>
      <c r="AD7" s="13">
        <v>2.1617717514728518E-2</v>
      </c>
      <c r="AE7" s="13">
        <v>-2.1944520348862184E-3</v>
      </c>
      <c r="AF7" s="13"/>
      <c r="AG7" s="21">
        <v>5.1768766177739511E-2</v>
      </c>
      <c r="AH7" s="21">
        <v>1.876876617773951E-2</v>
      </c>
      <c r="AI7" s="13">
        <v>8.7157452047783579E-2</v>
      </c>
      <c r="AJ7" s="13">
        <v>1.6E-2</v>
      </c>
      <c r="AK7" s="13">
        <v>5.9579366751902896E-3</v>
      </c>
      <c r="AL7" s="13"/>
      <c r="AM7" s="21">
        <v>0.192675816795018</v>
      </c>
      <c r="AN7" s="21">
        <v>0.16177581679501798</v>
      </c>
      <c r="AO7" s="13">
        <v>0.20725949239319097</v>
      </c>
      <c r="AP7" s="13">
        <v>4.8518184232593242E-4</v>
      </c>
      <c r="AQ7" s="13">
        <v>8.7094246087378036E-3</v>
      </c>
      <c r="AR7" s="13"/>
      <c r="AS7" s="21">
        <v>0.11642519775677629</v>
      </c>
      <c r="AT7" s="21">
        <v>8.9225197756776287E-2</v>
      </c>
      <c r="AU7" s="13">
        <v>0.11216055979805573</v>
      </c>
      <c r="AV7" s="13">
        <v>-2.1744679302225123E-2</v>
      </c>
      <c r="AW7" s="13">
        <v>5.5881404455224715E-3</v>
      </c>
      <c r="AX7" s="13"/>
      <c r="AY7" s="21">
        <v>4.9885295007071194E-2</v>
      </c>
      <c r="AZ7" s="21">
        <v>2.2285295007071194E-2</v>
      </c>
      <c r="BA7" s="13">
        <v>3.4469018627288683E-2</v>
      </c>
      <c r="BB7" s="13">
        <v>-2.863986836961474E-2</v>
      </c>
      <c r="BC7" s="13">
        <v>1.6984062239639997E-3</v>
      </c>
      <c r="BD7" s="13"/>
      <c r="BE7" s="21">
        <v>1.4933333600336525E-2</v>
      </c>
      <c r="BF7" s="21">
        <v>-1.2766666399663474E-2</v>
      </c>
      <c r="BG7" s="13">
        <v>2.3869644869744189E-2</v>
      </c>
      <c r="BH7" s="13">
        <v>-4.9220930257135365E-2</v>
      </c>
      <c r="BI7" s="13">
        <v>5.1241148410428483E-2</v>
      </c>
      <c r="BJ7" s="13"/>
      <c r="BK7" s="21">
        <v>-9.5139231007367098E-2</v>
      </c>
      <c r="BL7" s="21">
        <v>-0.12263923100736709</v>
      </c>
      <c r="BM7" s="13">
        <v>-0.13103866453506541</v>
      </c>
      <c r="BN7" s="13">
        <v>-4.8977964169653831E-2</v>
      </c>
      <c r="BO7" s="13">
        <v>1.807191161965882E-2</v>
      </c>
      <c r="BP7" s="13"/>
      <c r="BQ7" s="21">
        <v>-6.7146745950328102E-2</v>
      </c>
      <c r="BR7" s="21">
        <v>-0.1039467459503281</v>
      </c>
      <c r="BS7" s="13">
        <v>-0.13169806448163768</v>
      </c>
      <c r="BT7" s="13">
        <v>-7.2208241518608385E-2</v>
      </c>
      <c r="BU7" s="13">
        <v>1.8055690639986244E-2</v>
      </c>
      <c r="BV7" s="13"/>
      <c r="BW7" s="21">
        <v>-1.1238381821063292E-2</v>
      </c>
      <c r="BX7" s="21">
        <v>-5.4238381821063289E-2</v>
      </c>
      <c r="BY7" s="13">
        <v>-6.6807311154184035E-2</v>
      </c>
      <c r="BZ7" s="13">
        <v>-6.6347954486279281E-2</v>
      </c>
      <c r="CA7" s="13">
        <v>2.5503883917783687E-2</v>
      </c>
      <c r="CB7" s="13"/>
      <c r="CC7" s="21">
        <v>4.3827707908687064E-2</v>
      </c>
      <c r="CD7" s="21">
        <v>-1.1672292091312937E-2</v>
      </c>
      <c r="CE7" s="13">
        <v>-2.9641137181305344E-2</v>
      </c>
      <c r="CF7" s="13">
        <v>-6.285340374829107E-2</v>
      </c>
      <c r="CG7" s="13">
        <v>7.0519889767746147E-3</v>
      </c>
      <c r="CH7" s="13"/>
      <c r="CI7" s="21">
        <v>1.6430341563848705E-2</v>
      </c>
      <c r="CJ7" s="21">
        <v>-4.8269658436151289E-2</v>
      </c>
      <c r="CK7" s="13">
        <v>-3.223265541731779E-2</v>
      </c>
      <c r="CL7" s="13">
        <v>-4.4733872883905845E-2</v>
      </c>
      <c r="CM7" s="13">
        <v>8.4521244483177771E-3</v>
      </c>
      <c r="CN7" s="13"/>
      <c r="CO7" s="21">
        <v>4.3112466192167131E-2</v>
      </c>
      <c r="CP7" s="21">
        <v>-2.7887533807832862E-2</v>
      </c>
      <c r="CQ7" s="13">
        <v>2.1063371083238414E-2</v>
      </c>
      <c r="CR7" s="13">
        <v>-2.2065440849150408E-2</v>
      </c>
      <c r="CS7" s="13">
        <v>6.9802375330973998E-3</v>
      </c>
      <c r="CT7" s="13"/>
      <c r="CU7" s="21">
        <v>1.6954632382997437E-2</v>
      </c>
      <c r="CV7" s="21">
        <v>-5.9045367617002562E-2</v>
      </c>
      <c r="CW7" s="13">
        <v>-3.5481418311467117E-4</v>
      </c>
      <c r="CX7" s="13">
        <v>-1.2502911599976518E-2</v>
      </c>
      <c r="CY7" s="13">
        <v>-1.3751568289450677E-3</v>
      </c>
      <c r="CZ7" s="13"/>
      <c r="DA7" s="21">
        <v>3.9743060662482677E-3</v>
      </c>
      <c r="DB7" s="21">
        <v>-7.4325693933751727E-2</v>
      </c>
      <c r="DC7" s="13">
        <v>-3.8535323940329658E-3</v>
      </c>
      <c r="DD7" s="13">
        <v>1.1188121242332927E-2</v>
      </c>
      <c r="DE7" s="13">
        <v>-1.3126609824728463E-3</v>
      </c>
      <c r="DF7" s="13"/>
      <c r="DG7" s="21">
        <v>-2.2926325767808398E-2</v>
      </c>
      <c r="DH7" s="21">
        <v>-0.10072632576780839</v>
      </c>
      <c r="DI7" s="13">
        <v>1.0940668555340816E-2</v>
      </c>
      <c r="DJ7" s="13">
        <v>2.6303628861347517E-2</v>
      </c>
      <c r="DK7" s="13">
        <v>-1.1042974963758612E-3</v>
      </c>
      <c r="DL7" s="13"/>
      <c r="DM7" s="21">
        <v>-6.0215203306545284E-2</v>
      </c>
      <c r="DN7" s="21">
        <v>-0.13121520330654529</v>
      </c>
      <c r="DO7" s="13">
        <v>-2.2188453498538152E-2</v>
      </c>
      <c r="DP7" s="13">
        <v>2.9021007849905245E-2</v>
      </c>
      <c r="DQ7" s="13">
        <v>1.769440771868469E-3</v>
      </c>
      <c r="DR7" s="13"/>
      <c r="DS7" s="21">
        <v>-3.5050498221150028E-2</v>
      </c>
      <c r="DT7" s="21">
        <v>-9.8050498221150029E-2</v>
      </c>
      <c r="DU7" s="13">
        <v>2.2559896833534765E-2</v>
      </c>
      <c r="DV7" s="13">
        <v>4.4598432650353015E-2</v>
      </c>
      <c r="DW7" s="13">
        <v>3.6757629738803921E-4</v>
      </c>
      <c r="DX7" s="13"/>
      <c r="DY7" s="21">
        <v>-5.002617603684123E-2</v>
      </c>
      <c r="DZ7" s="21">
        <v>-0.10102617603684122</v>
      </c>
      <c r="EA7" s="13">
        <v>3.7842669955509889E-2</v>
      </c>
      <c r="EB7" s="13">
        <v>4.9245767083866299E-2</v>
      </c>
      <c r="EC7" s="13">
        <v>9.1161031659474645E-3</v>
      </c>
      <c r="ED7" s="13"/>
      <c r="EE7" s="21">
        <v>4.1000000000000002E-2</v>
      </c>
      <c r="EF7" s="21">
        <v>-8.6999999999999994E-2</v>
      </c>
      <c r="EG7" s="13">
        <v>3.5999999999999997E-2</v>
      </c>
      <c r="EH7" s="13">
        <v>3.9E-2</v>
      </c>
      <c r="EI7" s="13">
        <v>9.1161031659474645E-3</v>
      </c>
      <c r="EJ7" s="13"/>
      <c r="EK7" s="21">
        <v>1.9541895502198425E-2</v>
      </c>
      <c r="EL7" s="21">
        <v>-2.3658104497801577E-2</v>
      </c>
      <c r="EM7" s="13">
        <v>8.7603412420650617E-2</v>
      </c>
      <c r="EN7" s="13">
        <v>4.798000670990632E-2</v>
      </c>
      <c r="EO7" s="13">
        <v>4.9674723111226005E-3</v>
      </c>
      <c r="EP7" s="13"/>
      <c r="EQ7" s="21">
        <v>1.6579721459160535E-2</v>
      </c>
      <c r="ER7" s="21">
        <v>-2.6420278540839462E-2</v>
      </c>
      <c r="ES7" s="13">
        <v>6.9833950910235032E-2</v>
      </c>
      <c r="ET7" s="13">
        <v>3.8957756237110952E-2</v>
      </c>
      <c r="EU7" s="13">
        <v>3.3129018591728787E-3</v>
      </c>
      <c r="EV7" s="13"/>
      <c r="EW7" s="21">
        <v>7.1800509605149054E-2</v>
      </c>
      <c r="EX7" s="21">
        <v>2.8800509605149058E-2</v>
      </c>
      <c r="EY7" s="13">
        <v>9.6715798278564025E-2</v>
      </c>
      <c r="EZ7" s="13">
        <v>1.9899128912528208E-2</v>
      </c>
      <c r="FA7" s="13">
        <v>-1.0703531331508476E-3</v>
      </c>
      <c r="FB7" s="13"/>
      <c r="FC7" s="21">
        <v>8.969594963358074E-2</v>
      </c>
      <c r="FD7" s="21">
        <v>4.8042264764341459E-2</v>
      </c>
      <c r="FE7" s="13">
        <v>9.9419611694435917E-2</v>
      </c>
      <c r="FF7" s="13">
        <v>7.8937111509561619E-3</v>
      </c>
      <c r="FG7" s="13">
        <v>-7.4393314745835326E-4</v>
      </c>
      <c r="FI7" s="21">
        <v>2.8984332778899002E-2</v>
      </c>
      <c r="FJ7" s="21">
        <v>-1.1015667221100998E-2</v>
      </c>
      <c r="FK7" s="13">
        <v>2.2738963792498623E-2</v>
      </c>
      <c r="FL7" s="13">
        <v>-6.0132271667755477E-3</v>
      </c>
      <c r="FM7" s="13">
        <v>1.1985787172170692E-3</v>
      </c>
      <c r="FO7" s="21">
        <v>1.4111811969617527E-2</v>
      </c>
      <c r="FP7" s="21">
        <v>-2.3388188030382472E-2</v>
      </c>
      <c r="FQ7" s="21">
        <v>9.1078464225535782E-3</v>
      </c>
      <c r="FR7" s="13">
        <v>-5.1900673697364841E-3</v>
      </c>
      <c r="FS7" s="13">
        <v>1.2858465213680947E-3</v>
      </c>
      <c r="FU7" s="21">
        <v>-6.8241487140241475E-4</v>
      </c>
      <c r="FV7" s="21">
        <v>-3.6482414871402413E-2</v>
      </c>
      <c r="FW7" s="21">
        <v>-1.0726435582533056E-2</v>
      </c>
      <c r="FX7" s="13">
        <v>-8.3492006824825715E-3</v>
      </c>
      <c r="FY7" s="13">
        <v>-8.0823534741258918E-5</v>
      </c>
    </row>
    <row r="8" spans="1:181" x14ac:dyDescent="0.35">
      <c r="B8" s="14" t="s">
        <v>28</v>
      </c>
      <c r="C8" s="21"/>
      <c r="D8" s="21"/>
      <c r="E8" s="13"/>
      <c r="F8" s="13"/>
      <c r="G8" s="13"/>
      <c r="H8" s="13"/>
      <c r="I8" s="21"/>
      <c r="J8" s="21"/>
      <c r="K8" s="13"/>
      <c r="L8" s="13"/>
      <c r="M8" s="13"/>
      <c r="N8" s="13"/>
      <c r="O8" s="21"/>
      <c r="P8" s="21"/>
      <c r="Q8" s="13"/>
      <c r="R8" s="13"/>
      <c r="S8" s="13"/>
      <c r="T8" s="13"/>
      <c r="U8" s="21"/>
      <c r="V8" s="21"/>
      <c r="W8" s="13"/>
      <c r="X8" s="13"/>
      <c r="Y8" s="13"/>
      <c r="Z8" s="13"/>
      <c r="AA8" s="21"/>
      <c r="AB8" s="21"/>
      <c r="AC8" s="13"/>
      <c r="AD8" s="13"/>
      <c r="AE8" s="13"/>
      <c r="AF8" s="13"/>
      <c r="AG8" s="21"/>
      <c r="AH8" s="21"/>
      <c r="AI8" s="13"/>
      <c r="AJ8" s="13"/>
      <c r="AK8" s="13"/>
      <c r="AL8" s="13"/>
      <c r="AM8" s="21"/>
      <c r="AN8" s="21"/>
      <c r="AO8" s="13"/>
      <c r="AP8" s="13"/>
      <c r="AQ8" s="13"/>
      <c r="AR8" s="13"/>
      <c r="AS8" s="21"/>
      <c r="AT8" s="21"/>
      <c r="AU8" s="13"/>
      <c r="AV8" s="13"/>
      <c r="AW8" s="13"/>
      <c r="AX8" s="13"/>
      <c r="AY8" s="21"/>
      <c r="AZ8" s="21"/>
      <c r="BA8" s="13"/>
      <c r="BB8" s="13"/>
      <c r="BC8" s="13"/>
      <c r="BD8" s="13"/>
      <c r="BE8" s="21"/>
      <c r="BF8" s="21"/>
      <c r="BG8" s="13"/>
      <c r="BH8" s="13"/>
      <c r="BI8" s="13"/>
      <c r="BJ8" s="13"/>
      <c r="BK8" s="21"/>
      <c r="BL8" s="21"/>
      <c r="BM8" s="13"/>
      <c r="BN8" s="13"/>
      <c r="BO8" s="13"/>
      <c r="BP8" s="13"/>
      <c r="BQ8" s="21"/>
      <c r="BR8" s="21"/>
      <c r="BS8" s="13"/>
      <c r="BT8" s="13"/>
      <c r="BU8" s="13"/>
      <c r="BV8" s="13"/>
      <c r="BW8" s="21"/>
      <c r="BX8" s="21"/>
      <c r="BY8" s="13"/>
      <c r="BZ8" s="13"/>
      <c r="CA8" s="13"/>
      <c r="CB8" s="13"/>
      <c r="CC8" s="21"/>
      <c r="CD8" s="21"/>
      <c r="CE8" s="13"/>
      <c r="CF8" s="13"/>
      <c r="CG8" s="13"/>
      <c r="CH8" s="13"/>
      <c r="CI8" s="21"/>
      <c r="CJ8" s="21"/>
      <c r="CK8" s="13"/>
      <c r="CL8" s="13"/>
      <c r="CM8" s="13"/>
      <c r="CN8" s="13"/>
      <c r="CO8" s="21">
        <v>0.12924093277430448</v>
      </c>
      <c r="CP8" s="21">
        <v>5.8240932774304491E-2</v>
      </c>
      <c r="CQ8" s="13">
        <v>0.12627891397999758</v>
      </c>
      <c r="CR8" s="13">
        <v>-1.7842643363278343E-3</v>
      </c>
      <c r="CS8" s="13">
        <v>-8.2759239781027283E-4</v>
      </c>
      <c r="CT8" s="13"/>
      <c r="CU8" s="21">
        <v>0.30016288641498234</v>
      </c>
      <c r="CV8" s="21">
        <v>0.22416288641498233</v>
      </c>
      <c r="CW8" s="13">
        <v>0.29726935348625583</v>
      </c>
      <c r="CX8" s="13">
        <v>-1.148958722749116E-3</v>
      </c>
      <c r="CY8" s="13">
        <v>-1.069517599768699E-3</v>
      </c>
      <c r="CZ8" s="13"/>
      <c r="DA8" s="21">
        <v>0.17062665307596592</v>
      </c>
      <c r="DB8" s="21">
        <v>9.2326653075965923E-2</v>
      </c>
      <c r="DC8" s="13">
        <v>0.16887312871235327</v>
      </c>
      <c r="DD8" s="13">
        <v>-2.3012570172012969E-3</v>
      </c>
      <c r="DE8" s="13">
        <v>8.2005812511964926E-4</v>
      </c>
      <c r="DF8" s="13"/>
      <c r="DG8" s="21">
        <v>7.7659255498204294E-2</v>
      </c>
      <c r="DH8" s="21">
        <v>-1.4074450179570042E-4</v>
      </c>
      <c r="DI8" s="13">
        <v>7.846799553138939E-2</v>
      </c>
      <c r="DJ8" s="13">
        <v>-5.7518100244013937E-5</v>
      </c>
      <c r="DK8" s="13">
        <v>8.085196099159031E-4</v>
      </c>
      <c r="DL8" s="13"/>
      <c r="DM8" s="21">
        <v>3.2307354042474534E-2</v>
      </c>
      <c r="DN8" s="21">
        <v>-3.8692645957525459E-2</v>
      </c>
      <c r="DO8" s="13">
        <v>3.308205929323127E-2</v>
      </c>
      <c r="DP8" s="13">
        <v>-5.7518100244235981E-5</v>
      </c>
      <c r="DQ8" s="13">
        <v>8.0851960991612515E-4</v>
      </c>
      <c r="DR8" s="13"/>
      <c r="DS8" s="21">
        <v>-4.0711592606485603E-2</v>
      </c>
      <c r="DT8" s="21">
        <v>-0.1037115926064856</v>
      </c>
      <c r="DU8" s="13">
        <v>-3.9991685145507549E-2</v>
      </c>
      <c r="DV8" s="13">
        <v>-2.8400562140185048E-4</v>
      </c>
      <c r="DW8" s="13">
        <v>1.0371399007862436E-3</v>
      </c>
      <c r="DX8" s="13"/>
      <c r="DY8" s="21">
        <v>-3.8901603891118852E-2</v>
      </c>
      <c r="DZ8" s="21">
        <v>-8.9901603891118842E-2</v>
      </c>
      <c r="EA8" s="13">
        <v>-2.5427740745691985E-2</v>
      </c>
      <c r="EB8" s="13">
        <v>1.1637396771080333E-4</v>
      </c>
      <c r="EC8" s="13">
        <v>1.3900232092023401E-2</v>
      </c>
      <c r="ED8" s="13"/>
      <c r="EE8" s="21">
        <v>-8.0000000000000002E-3</v>
      </c>
      <c r="EF8" s="21">
        <v>-5.2999999999999999E-2</v>
      </c>
      <c r="EG8" s="13">
        <v>1.7999999999999999E-2</v>
      </c>
      <c r="EH8" s="13">
        <v>1E-3</v>
      </c>
      <c r="EI8" s="13">
        <v>2.5000000000000001E-2</v>
      </c>
      <c r="EJ8" s="13"/>
      <c r="EK8" s="21">
        <v>-6.5791586124280821E-3</v>
      </c>
      <c r="EL8" s="21">
        <v>-4.9779158612428084E-2</v>
      </c>
      <c r="EM8" s="13">
        <v>1.8668005224895312E-2</v>
      </c>
      <c r="EN8" s="13">
        <v>1E-3</v>
      </c>
      <c r="EO8" s="13">
        <v>2.5142787265467925E-2</v>
      </c>
      <c r="EP8" s="13"/>
      <c r="EQ8" s="21">
        <v>3.0730094835942356E-3</v>
      </c>
      <c r="ER8" s="21">
        <v>-3.9926990516405761E-2</v>
      </c>
      <c r="ES8" s="13">
        <v>2.8565477082580726E-2</v>
      </c>
      <c r="ET8" s="13">
        <v>1E-3</v>
      </c>
      <c r="EU8" s="13">
        <v>2.5142787265467925E-2</v>
      </c>
      <c r="EV8" s="13"/>
      <c r="EW8" s="21">
        <v>0.12701373724891685</v>
      </c>
      <c r="EX8" s="21">
        <v>8.401373724891685E-2</v>
      </c>
      <c r="EY8" s="13">
        <v>0.12669846399556373</v>
      </c>
      <c r="EZ8" s="13">
        <v>0</v>
      </c>
      <c r="FA8" s="13">
        <v>-3.2946239983422387E-4</v>
      </c>
      <c r="FB8" s="13"/>
      <c r="FC8" s="21">
        <v>0.14113041813703187</v>
      </c>
      <c r="FD8" s="21">
        <v>9.9476733267792578E-2</v>
      </c>
      <c r="FE8" s="13">
        <v>0.14183822957289305</v>
      </c>
      <c r="FF8" s="13">
        <v>1.0653894519577767E-3</v>
      </c>
      <c r="FG8" s="13">
        <v>-4.5327132977746043E-4</v>
      </c>
      <c r="FI8" s="21">
        <v>0.12063772896989078</v>
      </c>
      <c r="FJ8" s="21">
        <v>8.0637728969890771E-2</v>
      </c>
      <c r="FK8" s="13">
        <v>0.12128934796621893</v>
      </c>
      <c r="FL8" s="13">
        <v>1.0266079445901966E-3</v>
      </c>
      <c r="FM8" s="13">
        <v>-4.5328303828240379E-4</v>
      </c>
      <c r="FO8" s="21">
        <v>0.14149241246346755</v>
      </c>
      <c r="FP8" s="21">
        <v>0.10399241246346755</v>
      </c>
      <c r="FQ8" s="21">
        <v>0.14215615786566471</v>
      </c>
      <c r="FR8" s="13">
        <v>1.0266079445900855E-3</v>
      </c>
      <c r="FS8" s="13">
        <v>-4.532830382819597E-4</v>
      </c>
      <c r="FU8" s="21">
        <v>0.38750730741657713</v>
      </c>
      <c r="FV8" s="21">
        <v>0.35170730741657713</v>
      </c>
      <c r="FW8" s="21">
        <v>0.38831411987162534</v>
      </c>
      <c r="FX8" s="13">
        <v>1.0266080300559421E-3</v>
      </c>
      <c r="FY8" s="13">
        <v>-4.5327132977757145E-4</v>
      </c>
    </row>
    <row r="9" spans="1:181" x14ac:dyDescent="0.35">
      <c r="B9" s="10" t="s">
        <v>44</v>
      </c>
      <c r="C9" s="12">
        <v>7.4634755885352191E-2</v>
      </c>
      <c r="D9" s="12">
        <v>2.903475588535219E-2</v>
      </c>
      <c r="E9" s="11">
        <v>0.10837327049726808</v>
      </c>
      <c r="F9" s="12">
        <v>1.6924877356071177E-2</v>
      </c>
      <c r="G9" s="12">
        <v>3.1395331694917594E-2</v>
      </c>
      <c r="H9" s="19"/>
      <c r="I9" s="12">
        <v>8.2454865507389785E-2</v>
      </c>
      <c r="J9" s="12">
        <v>4.0054865507389785E-2</v>
      </c>
      <c r="K9" s="11">
        <v>0.10501910912741796</v>
      </c>
      <c r="L9" s="12">
        <v>1.0454313881812727E-2</v>
      </c>
      <c r="M9" s="12">
        <v>-3.4992655796365346E-3</v>
      </c>
      <c r="N9" s="19"/>
      <c r="O9" s="12">
        <v>9.1319381815307299E-2</v>
      </c>
      <c r="P9" s="12">
        <v>5.1024073496620248E-2</v>
      </c>
      <c r="Q9" s="11">
        <v>0.1218296286012488</v>
      </c>
      <c r="R9" s="12">
        <v>6.9811008844471445E-3</v>
      </c>
      <c r="S9" s="12">
        <v>1.0291173549234145E-2</v>
      </c>
      <c r="T9" s="19"/>
      <c r="U9" s="12">
        <v>8.4430302164907989E-2</v>
      </c>
      <c r="V9" s="12">
        <v>4.5630302164907988E-2</v>
      </c>
      <c r="W9" s="11">
        <v>0.10242321030697688</v>
      </c>
      <c r="X9" s="12">
        <v>-3.3155283776652444E-3</v>
      </c>
      <c r="Y9" s="12">
        <v>1.4238470418414861E-2</v>
      </c>
      <c r="Z9" s="19"/>
      <c r="AA9" s="12">
        <v>6.9798548328389831E-2</v>
      </c>
      <c r="AB9" s="12">
        <v>3.3698548328389831E-2</v>
      </c>
      <c r="AC9" s="11">
        <v>8.2694953437745466E-2</v>
      </c>
      <c r="AD9" s="12">
        <v>-3.1866508855449283E-4</v>
      </c>
      <c r="AE9" s="12">
        <v>1.0197862888722931E-2</v>
      </c>
      <c r="AF9" s="19"/>
      <c r="AG9" s="12">
        <v>5.3061224489795888E-2</v>
      </c>
      <c r="AH9" s="12">
        <v>2.0061224489795887E-2</v>
      </c>
      <c r="AI9" s="11">
        <v>6.4373041175920687E-2</v>
      </c>
      <c r="AJ9" s="12">
        <v>-2.0000000000000018E-3</v>
      </c>
      <c r="AK9" s="12">
        <v>9.0572090839513564E-3</v>
      </c>
      <c r="AL9" s="19"/>
      <c r="AM9" s="12">
        <v>0.10772466771526767</v>
      </c>
      <c r="AN9" s="12">
        <v>7.6824667715267678E-2</v>
      </c>
      <c r="AO9" s="11">
        <v>0.11872214117475988</v>
      </c>
      <c r="AP9" s="12">
        <v>-4.3106299907387235E-3</v>
      </c>
      <c r="AQ9" s="12">
        <v>1.2494969437573111E-2</v>
      </c>
      <c r="AR9" s="19"/>
      <c r="AS9" s="12">
        <v>6.154243219597566E-2</v>
      </c>
      <c r="AT9" s="12">
        <v>3.4342432195975658E-2</v>
      </c>
      <c r="AU9" s="11">
        <v>6.5129279847926602E-2</v>
      </c>
      <c r="AV9" s="12">
        <v>-8.8797456486533477E-3</v>
      </c>
      <c r="AW9" s="12">
        <v>1.0065524629993217E-2</v>
      </c>
      <c r="AX9" s="19"/>
      <c r="AY9" s="12">
        <v>2.4880329106882482E-2</v>
      </c>
      <c r="AZ9" s="12">
        <v>-2.7196708931175179E-3</v>
      </c>
      <c r="BA9" s="11">
        <v>2.5345054609943185E-2</v>
      </c>
      <c r="BB9" s="12">
        <v>-1.0481175751441363E-2</v>
      </c>
      <c r="BC9" s="12">
        <v>9.8616153343396018E-3</v>
      </c>
      <c r="BD9" s="19"/>
      <c r="BE9" s="12">
        <v>1.0621044298277711E-2</v>
      </c>
      <c r="BF9" s="12">
        <v>-1.7078955701722288E-2</v>
      </c>
      <c r="BG9" s="11">
        <v>3.3405809222843974E-2</v>
      </c>
      <c r="BH9" s="12">
        <v>-1.2866908374404629E-2</v>
      </c>
      <c r="BI9" s="12">
        <v>3.4855135854751085E-2</v>
      </c>
      <c r="BJ9" s="19"/>
      <c r="BK9" s="12">
        <v>-7.0862587691308598E-2</v>
      </c>
      <c r="BL9" s="12">
        <v>-9.8362587691308595E-2</v>
      </c>
      <c r="BM9" s="11">
        <v>-6.1469377389656965E-2</v>
      </c>
      <c r="BN9" s="12">
        <v>-1.6148271822757354E-2</v>
      </c>
      <c r="BO9" s="12">
        <v>2.9923747991266625E-2</v>
      </c>
      <c r="BP9" s="19"/>
      <c r="BQ9" s="12">
        <v>-5.6969108941057889E-2</v>
      </c>
      <c r="BR9" s="12">
        <v>-9.3769108941057888E-2</v>
      </c>
      <c r="BS9" s="11">
        <v>-5.3993241936615699E-2</v>
      </c>
      <c r="BT9" s="12">
        <v>-1.9520786162708026E-2</v>
      </c>
      <c r="BU9" s="12">
        <v>2.5616081511319111E-2</v>
      </c>
      <c r="BV9" s="19"/>
      <c r="BW9" s="12">
        <v>1.8362099327191572E-3</v>
      </c>
      <c r="BX9" s="12">
        <v>-4.1163790067280839E-2</v>
      </c>
      <c r="BY9" s="11">
        <v>6.4776951858769305E-3</v>
      </c>
      <c r="BZ9" s="12">
        <v>-1.2867524626467119E-2</v>
      </c>
      <c r="CA9" s="12">
        <v>2.0110417014036708E-2</v>
      </c>
      <c r="CB9" s="19"/>
      <c r="CC9" s="12">
        <v>4.9329321211292854E-2</v>
      </c>
      <c r="CD9" s="12">
        <v>-6.1706787887071471E-3</v>
      </c>
      <c r="CE9" s="11">
        <v>4.5940026713593207E-2</v>
      </c>
      <c r="CF9" s="12">
        <v>-8.0000000000000002E-3</v>
      </c>
      <c r="CG9" s="12">
        <v>6.9088646054780156E-3</v>
      </c>
      <c r="CH9" s="19"/>
      <c r="CI9" s="12">
        <v>4.8625461009873971E-2</v>
      </c>
      <c r="CJ9" s="12">
        <v>-1.6074538990126022E-2</v>
      </c>
      <c r="CK9" s="11">
        <v>5.5448455048938472E-2</v>
      </c>
      <c r="CL9" s="12">
        <v>2E-3</v>
      </c>
      <c r="CM9" s="12">
        <v>4.2234379637369202E-3</v>
      </c>
      <c r="CN9" s="19"/>
      <c r="CO9" s="12">
        <v>6.4409336227984726E-2</v>
      </c>
      <c r="CP9" s="12">
        <v>-6.0000000000000001E-3</v>
      </c>
      <c r="CQ9" s="11">
        <v>9.5324619390582788E-2</v>
      </c>
      <c r="CR9" s="12">
        <v>1.068785584121823E-2</v>
      </c>
      <c r="CS9" s="12">
        <v>1.7093228056799914E-2</v>
      </c>
      <c r="CT9" s="19"/>
      <c r="CU9" s="12">
        <v>5.3647116351355661E-2</v>
      </c>
      <c r="CV9" s="12">
        <v>-2.2352883648644337E-2</v>
      </c>
      <c r="CW9" s="11">
        <v>8.9018675679368275E-2</v>
      </c>
      <c r="CX9" s="12">
        <v>9.2563465721019478E-3</v>
      </c>
      <c r="CY9" s="12">
        <v>2.1461294730888314E-2</v>
      </c>
      <c r="CZ9" s="19"/>
      <c r="DA9" s="12">
        <v>4.332830177373026E-2</v>
      </c>
      <c r="DB9" s="12">
        <v>-3.4971698226269735E-2</v>
      </c>
      <c r="DC9" s="11">
        <v>8.8164652408810218E-2</v>
      </c>
      <c r="DD9" s="12">
        <v>1.4627726419945142E-2</v>
      </c>
      <c r="DE9" s="12">
        <v>2.7285119871157448E-2</v>
      </c>
      <c r="DF9" s="19"/>
      <c r="DG9" s="12">
        <v>4.2347178611585878E-2</v>
      </c>
      <c r="DH9" s="12">
        <v>-3.5452821388414116E-2</v>
      </c>
      <c r="DI9" s="11">
        <v>8.1571496537373278E-2</v>
      </c>
      <c r="DJ9" s="12">
        <v>1.0798976936798987E-2</v>
      </c>
      <c r="DK9" s="12">
        <v>2.4050290321111278E-2</v>
      </c>
      <c r="DL9" s="19"/>
      <c r="DM9" s="12">
        <v>1.9732551282292565E-2</v>
      </c>
      <c r="DN9" s="12">
        <v>-5.1267448717707428E-2</v>
      </c>
      <c r="DO9" s="11">
        <v>4.1371158348232795E-2</v>
      </c>
      <c r="DP9" s="12">
        <v>9.2457786219289906E-3</v>
      </c>
      <c r="DQ9" s="12">
        <v>9.6397604357851829E-3</v>
      </c>
      <c r="DR9" s="19"/>
      <c r="DS9" s="12">
        <v>3.3632818921096153E-2</v>
      </c>
      <c r="DT9" s="12">
        <v>-2.9367181078903848E-2</v>
      </c>
      <c r="DU9" s="11">
        <v>5.1721210286424624E-2</v>
      </c>
      <c r="DV9" s="12">
        <v>8.1922163878406229E-3</v>
      </c>
      <c r="DW9" s="12">
        <v>3.9529709114487499E-3</v>
      </c>
      <c r="DX9" s="19"/>
      <c r="DY9" s="12">
        <v>2.9905203564488225E-2</v>
      </c>
      <c r="DZ9" s="12">
        <v>-2.1094796435511771E-2</v>
      </c>
      <c r="EA9" s="11">
        <v>5.2209363842023571E-2</v>
      </c>
      <c r="EB9" s="12">
        <v>1.3415950671221699E-2</v>
      </c>
      <c r="EC9" s="12">
        <v>5.7594500869007081E-3</v>
      </c>
      <c r="ED9" s="19"/>
      <c r="EE9" s="12">
        <v>2.8000000000000001E-2</v>
      </c>
      <c r="EF9" s="12">
        <v>-1.7999999999999999E-2</v>
      </c>
      <c r="EG9" s="11">
        <v>5.0999999999999997E-2</v>
      </c>
      <c r="EH9" s="12">
        <v>1.2E-2</v>
      </c>
      <c r="EI9" s="12">
        <v>8.0000000000000002E-3</v>
      </c>
      <c r="EJ9" s="19"/>
      <c r="EK9" s="12">
        <v>5.1846510162293358E-2</v>
      </c>
      <c r="EL9" s="12">
        <v>8.6465101622933555E-3</v>
      </c>
      <c r="EM9" s="11">
        <v>7.4094207296128589E-2</v>
      </c>
      <c r="EN9" s="12">
        <v>1.4023256356700986E-2</v>
      </c>
      <c r="EO9" s="12">
        <v>6.1085517394372513E-3</v>
      </c>
      <c r="EP9" s="19"/>
      <c r="EQ9" s="12">
        <v>5.8119758741445482E-2</v>
      </c>
      <c r="ER9" s="12">
        <v>1.5119758741445485E-2</v>
      </c>
      <c r="ES9" s="11">
        <v>7.9510481112291753E-2</v>
      </c>
      <c r="ET9" s="12">
        <v>1.3653403443682155E-2</v>
      </c>
      <c r="EU9" s="12">
        <v>5.6068457938565075E-3</v>
      </c>
      <c r="EV9" s="19"/>
      <c r="EW9" s="12">
        <v>9.8425973107736819E-2</v>
      </c>
      <c r="EX9" s="12">
        <v>5.5425973107736823E-2</v>
      </c>
      <c r="EY9" s="11">
        <v>0.10771890558524855</v>
      </c>
      <c r="EZ9" s="12">
        <v>5.81008668935723E-3</v>
      </c>
      <c r="FA9" s="12">
        <v>2.3292479854426507E-3</v>
      </c>
      <c r="FB9" s="19"/>
      <c r="FC9" s="12">
        <v>0.10401635565806533</v>
      </c>
      <c r="FD9" s="12">
        <v>6.2362670788826048E-2</v>
      </c>
      <c r="FE9" s="11">
        <v>0.10895857925001717</v>
      </c>
      <c r="FF9" s="12">
        <v>4.0867573960031711E-3</v>
      </c>
      <c r="FG9" s="12">
        <v>1.7464676690281955E-4</v>
      </c>
      <c r="FI9" s="12">
        <v>5.1955900907904029E-2</v>
      </c>
      <c r="FJ9" s="12">
        <v>1.1955900907904028E-2</v>
      </c>
      <c r="FK9" s="11">
        <v>4.9595762772833174E-2</v>
      </c>
      <c r="FL9" s="12">
        <v>-3.0000000000000001E-3</v>
      </c>
      <c r="FM9" s="12">
        <v>1.5299822067771363E-3</v>
      </c>
      <c r="FO9" s="12">
        <v>4.9059843089014121E-2</v>
      </c>
      <c r="FP9" s="12">
        <v>1.1559843089014123E-2</v>
      </c>
      <c r="FQ9" s="12">
        <v>4.3697070416977013E-2</v>
      </c>
      <c r="FR9" s="12">
        <v>-3.4494915552925054E-3</v>
      </c>
      <c r="FS9" s="12">
        <v>-1.4992938275313339E-3</v>
      </c>
      <c r="FU9" s="12">
        <v>5.3246696687509143E-2</v>
      </c>
      <c r="FV9" s="12">
        <v>1.7446696687509144E-2</v>
      </c>
      <c r="FW9" s="12">
        <v>5.0458061037677027E-2</v>
      </c>
      <c r="FX9" s="12">
        <v>-4.0000000000000001E-3</v>
      </c>
      <c r="FY9" s="12">
        <v>7.5262482781046636E-4</v>
      </c>
    </row>
    <row r="10" spans="1:181" x14ac:dyDescent="0.35">
      <c r="B10" s="23" t="s">
        <v>251</v>
      </c>
    </row>
    <row r="15" spans="1:181" x14ac:dyDescent="0.35">
      <c r="CI15" s="21"/>
      <c r="CJ15" s="21"/>
      <c r="CK15" s="13"/>
      <c r="CL15" s="13"/>
      <c r="CM15" s="13"/>
    </row>
  </sheetData>
  <mergeCells count="30">
    <mergeCell ref="FU3:FY3"/>
    <mergeCell ref="FO3:FS3"/>
    <mergeCell ref="FI3:FM3"/>
    <mergeCell ref="C3:G3"/>
    <mergeCell ref="I3:M3"/>
    <mergeCell ref="O3:S3"/>
    <mergeCell ref="U3:Y3"/>
    <mergeCell ref="AA3:AE3"/>
    <mergeCell ref="AM3:AQ3"/>
    <mergeCell ref="AG3:AK3"/>
    <mergeCell ref="BQ3:BU3"/>
    <mergeCell ref="BK3:BO3"/>
    <mergeCell ref="AY3:BC3"/>
    <mergeCell ref="BE3:BI3"/>
    <mergeCell ref="AS3:AW3"/>
    <mergeCell ref="FC3:FG3"/>
    <mergeCell ref="BW3:CA3"/>
    <mergeCell ref="DA3:DE3"/>
    <mergeCell ref="CU3:CY3"/>
    <mergeCell ref="CO3:CS3"/>
    <mergeCell ref="CI3:CM3"/>
    <mergeCell ref="CC3:CG3"/>
    <mergeCell ref="EW3:FA3"/>
    <mergeCell ref="DY3:EC3"/>
    <mergeCell ref="DS3:DW3"/>
    <mergeCell ref="DM3:DQ3"/>
    <mergeCell ref="DG3:DK3"/>
    <mergeCell ref="EQ3:EU3"/>
    <mergeCell ref="EK3:EO3"/>
    <mergeCell ref="EE3:EI3"/>
  </mergeCells>
  <hyperlinks>
    <hyperlink ref="A1" location="Índice!A1" display="Regreso al índice" xr:uid="{70C47665-DB4D-4CF8-90E7-3B3DB76D7692}"/>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32CFC3-2AF2-41B5-897C-0FF78EE57BD7}">
  <dimension ref="A1:CM86"/>
  <sheetViews>
    <sheetView showGridLines="0" zoomScale="110" zoomScaleNormal="110" workbookViewId="0">
      <pane xSplit="2" ySplit="3" topLeftCell="CD4" activePane="bottomRight" state="frozen"/>
      <selection activeCell="BW70" sqref="BW70"/>
      <selection pane="topRight" activeCell="BW70" sqref="BW70"/>
      <selection pane="bottomLeft" activeCell="BW70" sqref="BW70"/>
      <selection pane="bottomRight" activeCell="CM2" sqref="CM2"/>
    </sheetView>
  </sheetViews>
  <sheetFormatPr baseColWidth="10" defaultColWidth="10.81640625" defaultRowHeight="14.5" outlineLevelCol="1" x14ac:dyDescent="0.35"/>
  <cols>
    <col min="1" max="1" width="2.453125" style="23" customWidth="1"/>
    <col min="2" max="2" width="41.453125" style="23" customWidth="1"/>
    <col min="3" max="6" width="11.453125" style="23" hidden="1" customWidth="1" outlineLevel="1"/>
    <col min="7" max="7" width="11.453125" style="23" customWidth="1" collapsed="1"/>
    <col min="8" max="8" width="11.453125" style="23" customWidth="1"/>
    <col min="9" max="12" width="11.453125" style="23" hidden="1" customWidth="1" outlineLevel="1"/>
    <col min="13" max="13" width="11.453125" style="23" customWidth="1" collapsed="1"/>
    <col min="14" max="14" width="11.453125" style="23" customWidth="1"/>
    <col min="15" max="18" width="11.453125" style="23" hidden="1" customWidth="1" outlineLevel="1"/>
    <col min="19" max="19" width="11.453125" style="23" customWidth="1" collapsed="1"/>
    <col min="20" max="20" width="11.453125" style="23" customWidth="1"/>
    <col min="21" max="24" width="11.453125" style="23" hidden="1" customWidth="1" outlineLevel="1"/>
    <col min="25" max="25" width="11.453125" style="23" customWidth="1" collapsed="1"/>
    <col min="26" max="26" width="11.453125" style="23" customWidth="1"/>
    <col min="27" max="30" width="11.453125" style="23" hidden="1" customWidth="1" outlineLevel="1"/>
    <col min="31" max="31" width="11.453125" style="23" customWidth="1" collapsed="1"/>
    <col min="32" max="32" width="11.453125" style="23" customWidth="1"/>
    <col min="33" max="36" width="11.453125" style="23" hidden="1" customWidth="1" outlineLevel="1"/>
    <col min="37" max="37" width="11.453125" style="62" customWidth="1" collapsed="1"/>
    <col min="38" max="38" width="11.453125" style="62" customWidth="1"/>
    <col min="39" max="42" width="11.453125" style="23" hidden="1" customWidth="1" outlineLevel="1"/>
    <col min="43" max="43" width="11.453125" style="62" customWidth="1" collapsed="1"/>
    <col min="44" max="44" width="11.453125" style="62" customWidth="1"/>
    <col min="45" max="48" width="11.453125" style="23" hidden="1" customWidth="1" outlineLevel="1"/>
    <col min="49" max="49" width="11.453125" style="23" customWidth="1" collapsed="1"/>
    <col min="50" max="50" width="11.453125" style="23" customWidth="1"/>
    <col min="51" max="54" width="11.453125" style="23" hidden="1" customWidth="1" outlineLevel="1"/>
    <col min="55" max="55" width="11.453125" style="23" customWidth="1" collapsed="1"/>
    <col min="56" max="56" width="11.453125" style="23" customWidth="1"/>
    <col min="57" max="60" width="11.453125" style="23" hidden="1" customWidth="1" outlineLevel="1"/>
    <col min="61" max="61" width="11.453125" style="23" customWidth="1" collapsed="1"/>
    <col min="62" max="62" width="11.453125" style="23" customWidth="1"/>
    <col min="63" max="66" width="11.453125" style="23" hidden="1" customWidth="1" outlineLevel="1"/>
    <col min="67" max="67" width="11.453125" style="23" customWidth="1" collapsed="1"/>
    <col min="68" max="68" width="11.453125" style="23" customWidth="1"/>
    <col min="69" max="70" width="11.453125" style="23" hidden="1" customWidth="1" outlineLevel="1"/>
    <col min="71" max="71" width="10.81640625" style="23" hidden="1" customWidth="1" outlineLevel="1"/>
    <col min="72" max="72" width="11.453125" style="23" hidden="1" customWidth="1" outlineLevel="1"/>
    <col min="73" max="73" width="11.453125" style="23" customWidth="1" collapsed="1"/>
    <col min="74" max="74" width="11.453125" style="23" customWidth="1"/>
    <col min="75" max="76" width="11.453125" style="23" hidden="1" customWidth="1" outlineLevel="1"/>
    <col min="77" max="77" width="10.81640625" style="23" hidden="1" customWidth="1" outlineLevel="1"/>
    <col min="78" max="78" width="11.453125" style="23" hidden="1" customWidth="1" outlineLevel="1"/>
    <col min="79" max="79" width="11.453125" style="23" customWidth="1" collapsed="1"/>
    <col min="80" max="80" width="11.453125" style="23" customWidth="1"/>
    <col min="81" max="82" width="11.453125" style="23" customWidth="1" outlineLevel="1"/>
    <col min="83" max="83" width="10.81640625" style="23" customWidth="1" outlineLevel="1"/>
    <col min="84" max="84" width="11.453125" style="23" customWidth="1" outlineLevel="1"/>
    <col min="85" max="88" width="11.453125" style="23" customWidth="1"/>
    <col min="89" max="89" width="10.81640625" style="23" customWidth="1"/>
    <col min="90" max="91" width="11.453125" style="23" customWidth="1"/>
    <col min="92" max="16384" width="10.81640625" style="23"/>
  </cols>
  <sheetData>
    <row r="1" spans="1:91" x14ac:dyDescent="0.35">
      <c r="A1" s="130" t="s">
        <v>252</v>
      </c>
      <c r="E1" s="42"/>
      <c r="F1" s="61"/>
      <c r="L1" s="46"/>
      <c r="R1" s="46"/>
      <c r="AQ1" s="23"/>
      <c r="AR1" s="23"/>
      <c r="BR1" s="45"/>
      <c r="BX1" s="45"/>
      <c r="CD1" s="45"/>
      <c r="CJ1" s="45"/>
    </row>
    <row r="2" spans="1:91" ht="15" thickBot="1" x14ac:dyDescent="0.4">
      <c r="E2" s="42"/>
      <c r="F2" s="61"/>
      <c r="L2" s="46"/>
      <c r="R2" s="46"/>
      <c r="AQ2" s="23"/>
      <c r="AR2" s="23"/>
    </row>
    <row r="3" spans="1:91" s="1" customFormat="1" ht="15.5" thickTop="1" thickBot="1" x14ac:dyDescent="0.4">
      <c r="A3" s="29"/>
      <c r="B3" s="31" t="s">
        <v>105</v>
      </c>
      <c r="C3" s="32" t="s">
        <v>198</v>
      </c>
      <c r="D3" s="32" t="s">
        <v>202</v>
      </c>
      <c r="E3" s="32" t="s">
        <v>205</v>
      </c>
      <c r="F3" s="32" t="s">
        <v>208</v>
      </c>
      <c r="G3" s="34" t="s">
        <v>61</v>
      </c>
      <c r="H3" s="166" t="s">
        <v>347</v>
      </c>
      <c r="I3" s="32" t="s">
        <v>199</v>
      </c>
      <c r="J3" s="32" t="s">
        <v>203</v>
      </c>
      <c r="K3" s="32" t="s">
        <v>206</v>
      </c>
      <c r="L3" s="32" t="s">
        <v>209</v>
      </c>
      <c r="M3" s="34" t="s">
        <v>62</v>
      </c>
      <c r="N3" s="166" t="s">
        <v>346</v>
      </c>
      <c r="O3" s="32" t="s">
        <v>200</v>
      </c>
      <c r="P3" s="32" t="s">
        <v>204</v>
      </c>
      <c r="Q3" s="32" t="s">
        <v>207</v>
      </c>
      <c r="R3" s="32" t="s">
        <v>210</v>
      </c>
      <c r="S3" s="34">
        <v>2013</v>
      </c>
      <c r="T3" s="166" t="s">
        <v>345</v>
      </c>
      <c r="U3" s="32" t="s">
        <v>201</v>
      </c>
      <c r="V3" s="32" t="s">
        <v>20</v>
      </c>
      <c r="W3" s="32" t="s">
        <v>19</v>
      </c>
      <c r="X3" s="32" t="s">
        <v>18</v>
      </c>
      <c r="Y3" s="34">
        <v>2014</v>
      </c>
      <c r="Z3" s="166" t="s">
        <v>344</v>
      </c>
      <c r="AA3" s="32" t="s">
        <v>17</v>
      </c>
      <c r="AB3" s="32" t="s">
        <v>16</v>
      </c>
      <c r="AC3" s="32" t="s">
        <v>15</v>
      </c>
      <c r="AD3" s="32" t="s">
        <v>14</v>
      </c>
      <c r="AE3" s="34">
        <v>2015</v>
      </c>
      <c r="AF3" s="166" t="s">
        <v>343</v>
      </c>
      <c r="AG3" s="32" t="s">
        <v>13</v>
      </c>
      <c r="AH3" s="32" t="s">
        <v>12</v>
      </c>
      <c r="AI3" s="32" t="s">
        <v>11</v>
      </c>
      <c r="AJ3" s="32" t="s">
        <v>10</v>
      </c>
      <c r="AK3" s="34">
        <v>2016</v>
      </c>
      <c r="AL3" s="166" t="s">
        <v>342</v>
      </c>
      <c r="AM3" s="32" t="s">
        <v>9</v>
      </c>
      <c r="AN3" s="32" t="s">
        <v>8</v>
      </c>
      <c r="AO3" s="32" t="s">
        <v>29</v>
      </c>
      <c r="AP3" s="32" t="s">
        <v>30</v>
      </c>
      <c r="AQ3" s="34">
        <v>2017</v>
      </c>
      <c r="AR3" s="166" t="s">
        <v>341</v>
      </c>
      <c r="AS3" s="32" t="s">
        <v>7</v>
      </c>
      <c r="AT3" s="32" t="s">
        <v>6</v>
      </c>
      <c r="AU3" s="32" t="s">
        <v>5</v>
      </c>
      <c r="AV3" s="32" t="s">
        <v>4</v>
      </c>
      <c r="AW3" s="34">
        <v>2018</v>
      </c>
      <c r="AX3" s="166" t="s">
        <v>340</v>
      </c>
      <c r="AY3" s="32" t="s">
        <v>3</v>
      </c>
      <c r="AZ3" s="32" t="s">
        <v>2</v>
      </c>
      <c r="BA3" s="32" t="s">
        <v>1</v>
      </c>
      <c r="BB3" s="32" t="s">
        <v>45</v>
      </c>
      <c r="BC3" s="34">
        <v>2019</v>
      </c>
      <c r="BD3" s="166" t="s">
        <v>339</v>
      </c>
      <c r="BE3" s="32" t="s">
        <v>283</v>
      </c>
      <c r="BF3" s="32" t="s">
        <v>284</v>
      </c>
      <c r="BG3" s="32" t="s">
        <v>285</v>
      </c>
      <c r="BH3" s="32" t="s">
        <v>286</v>
      </c>
      <c r="BI3" s="34">
        <v>2020</v>
      </c>
      <c r="BJ3" s="166" t="s">
        <v>338</v>
      </c>
      <c r="BK3" s="32" t="s">
        <v>302</v>
      </c>
      <c r="BL3" s="32" t="s">
        <v>305</v>
      </c>
      <c r="BM3" s="32" t="s">
        <v>310</v>
      </c>
      <c r="BN3" s="32" t="s">
        <v>313</v>
      </c>
      <c r="BO3" s="34">
        <v>2021</v>
      </c>
      <c r="BP3" s="166" t="s">
        <v>337</v>
      </c>
      <c r="BQ3" s="32" t="s">
        <v>318</v>
      </c>
      <c r="BR3" s="32" t="s">
        <v>329</v>
      </c>
      <c r="BS3" s="32" t="s">
        <v>332</v>
      </c>
      <c r="BT3" s="32" t="s">
        <v>350</v>
      </c>
      <c r="BU3" s="34">
        <v>2022</v>
      </c>
      <c r="BV3" s="166" t="s">
        <v>362</v>
      </c>
      <c r="BW3" s="32" t="s">
        <v>361</v>
      </c>
      <c r="BX3" s="32" t="s">
        <v>363</v>
      </c>
      <c r="BY3" s="32" t="s">
        <v>364</v>
      </c>
      <c r="BZ3" s="32" t="s">
        <v>365</v>
      </c>
      <c r="CA3" s="34">
        <v>2023</v>
      </c>
      <c r="CB3" s="166" t="s">
        <v>394</v>
      </c>
      <c r="CC3" s="32" t="s">
        <v>395</v>
      </c>
      <c r="CD3" s="32" t="s">
        <v>396</v>
      </c>
      <c r="CE3" s="32" t="s">
        <v>397</v>
      </c>
      <c r="CF3" s="32" t="s">
        <v>398</v>
      </c>
      <c r="CG3" s="34">
        <v>2024</v>
      </c>
      <c r="CH3" s="166" t="s">
        <v>419</v>
      </c>
      <c r="CI3" s="32" t="s">
        <v>415</v>
      </c>
      <c r="CJ3" s="32" t="s">
        <v>417</v>
      </c>
      <c r="CK3" s="32" t="s">
        <v>418</v>
      </c>
      <c r="CL3" s="32" t="s">
        <v>420</v>
      </c>
      <c r="CM3" s="34">
        <v>2025</v>
      </c>
    </row>
    <row r="4" spans="1:91" ht="3.65" customHeight="1" thickTop="1" x14ac:dyDescent="0.3">
      <c r="B4" s="47"/>
      <c r="C4" s="48"/>
      <c r="D4" s="48"/>
      <c r="E4" s="48"/>
      <c r="F4" s="48"/>
      <c r="G4" s="49"/>
      <c r="H4" s="49"/>
      <c r="I4" s="48"/>
      <c r="J4" s="48"/>
      <c r="K4" s="48"/>
      <c r="L4" s="48"/>
      <c r="M4" s="49"/>
      <c r="N4" s="49"/>
      <c r="O4" s="48"/>
      <c r="P4" s="48"/>
      <c r="Q4" s="48"/>
      <c r="R4" s="48"/>
      <c r="S4" s="49"/>
      <c r="T4" s="49"/>
      <c r="U4" s="48"/>
      <c r="V4" s="48"/>
      <c r="W4" s="48"/>
      <c r="X4" s="48"/>
      <c r="Y4" s="49"/>
      <c r="Z4" s="49"/>
      <c r="AA4" s="48"/>
      <c r="AB4" s="48"/>
      <c r="AC4" s="48"/>
      <c r="AD4" s="48"/>
      <c r="AE4" s="49"/>
      <c r="AF4" s="49"/>
      <c r="AG4" s="48"/>
      <c r="AH4" s="48"/>
      <c r="AI4" s="48"/>
      <c r="AJ4" s="48"/>
      <c r="AK4" s="23"/>
      <c r="AL4" s="23"/>
      <c r="AM4" s="48"/>
      <c r="AN4" s="48"/>
      <c r="AO4" s="48"/>
      <c r="AP4" s="48"/>
      <c r="AQ4" s="23"/>
      <c r="AR4" s="23"/>
      <c r="AS4" s="48"/>
      <c r="AT4" s="48"/>
      <c r="AU4" s="48"/>
      <c r="AV4" s="48"/>
      <c r="AY4" s="48"/>
      <c r="AZ4" s="48"/>
      <c r="BA4" s="48"/>
      <c r="BB4" s="48"/>
      <c r="BE4" s="48"/>
      <c r="BF4" s="48"/>
      <c r="BG4" s="48"/>
      <c r="BH4" s="48"/>
      <c r="BK4" s="48"/>
      <c r="BL4" s="48"/>
      <c r="BM4" s="48"/>
      <c r="BN4" s="48"/>
      <c r="BQ4" s="48"/>
      <c r="BR4" s="48"/>
      <c r="BT4" s="48"/>
      <c r="BW4" s="48"/>
      <c r="BX4" s="48"/>
      <c r="BZ4" s="48"/>
      <c r="CC4" s="48"/>
      <c r="CD4" s="48"/>
      <c r="CF4" s="48"/>
      <c r="CI4" s="48"/>
      <c r="CJ4" s="48"/>
      <c r="CL4" s="48"/>
    </row>
    <row r="5" spans="1:91" ht="12" x14ac:dyDescent="0.3">
      <c r="B5" s="23" t="s">
        <v>63</v>
      </c>
      <c r="C5" s="63">
        <v>14703.537</v>
      </c>
      <c r="D5" s="38">
        <v>110221.758</v>
      </c>
      <c r="E5" s="38">
        <v>169232.22500000001</v>
      </c>
      <c r="F5" s="38">
        <v>182042.367</v>
      </c>
      <c r="G5" s="38">
        <v>476199.886</v>
      </c>
      <c r="H5" s="38">
        <v>476199.886</v>
      </c>
      <c r="I5" s="38">
        <v>177573</v>
      </c>
      <c r="J5" s="38">
        <v>364863</v>
      </c>
      <c r="K5" s="38">
        <v>477590</v>
      </c>
      <c r="L5" s="38">
        <v>352670</v>
      </c>
      <c r="M5" s="38">
        <v>1372696</v>
      </c>
      <c r="N5" s="38">
        <v>1372696</v>
      </c>
      <c r="O5" s="38">
        <v>638460</v>
      </c>
      <c r="P5" s="38">
        <v>889573</v>
      </c>
      <c r="Q5" s="38">
        <v>993254</v>
      </c>
      <c r="R5" s="38">
        <v>1045024</v>
      </c>
      <c r="S5" s="38">
        <v>3566311</v>
      </c>
      <c r="T5" s="38">
        <v>3566311</v>
      </c>
      <c r="U5" s="38">
        <v>1456088</v>
      </c>
      <c r="V5" s="38">
        <v>1824227</v>
      </c>
      <c r="W5" s="38">
        <v>1822247</v>
      </c>
      <c r="X5" s="38">
        <v>1887189</v>
      </c>
      <c r="Y5" s="38">
        <v>6989751</v>
      </c>
      <c r="Z5" s="38">
        <v>6989751</v>
      </c>
      <c r="AA5" s="38">
        <v>1998714</v>
      </c>
      <c r="AB5" s="39">
        <v>2240773</v>
      </c>
      <c r="AC5" s="39">
        <v>2550052</v>
      </c>
      <c r="AD5" s="39">
        <v>2785077</v>
      </c>
      <c r="AE5" s="39">
        <v>9574616</v>
      </c>
      <c r="AF5" s="39">
        <v>9574616</v>
      </c>
      <c r="AG5" s="38">
        <v>2827297</v>
      </c>
      <c r="AH5" s="38">
        <v>2830737</v>
      </c>
      <c r="AI5" s="39">
        <v>2987422</v>
      </c>
      <c r="AJ5" s="39">
        <v>3111151</v>
      </c>
      <c r="AK5" s="39">
        <v>11756607</v>
      </c>
      <c r="AL5" s="39">
        <v>11756607</v>
      </c>
      <c r="AM5" s="38">
        <v>3139014</v>
      </c>
      <c r="AN5" s="38">
        <v>3136113</v>
      </c>
      <c r="AO5" s="39">
        <v>3139940</v>
      </c>
      <c r="AP5" s="39">
        <v>3254961</v>
      </c>
      <c r="AQ5" s="39">
        <v>12670028</v>
      </c>
      <c r="AR5" s="39">
        <v>12670028</v>
      </c>
      <c r="AS5" s="39">
        <v>3684513</v>
      </c>
      <c r="AT5" s="36">
        <v>3728566</v>
      </c>
      <c r="AU5" s="36">
        <v>3838545</v>
      </c>
      <c r="AV5" s="36">
        <v>3995564</v>
      </c>
      <c r="AW5" s="39">
        <v>15247188</v>
      </c>
      <c r="AX5" s="36">
        <v>15247188</v>
      </c>
      <c r="AY5" s="36">
        <v>4051022</v>
      </c>
      <c r="AZ5" s="36">
        <v>4138701</v>
      </c>
      <c r="BA5" s="36">
        <v>4177184</v>
      </c>
      <c r="BB5" s="36">
        <v>4476227</v>
      </c>
      <c r="BC5" s="39">
        <v>16843134</v>
      </c>
      <c r="BD5" s="36">
        <v>16843134</v>
      </c>
      <c r="BE5" s="36">
        <v>4547480</v>
      </c>
      <c r="BF5" s="36">
        <v>4424678</v>
      </c>
      <c r="BG5" s="36">
        <v>4304747</v>
      </c>
      <c r="BH5" s="36">
        <f>'[3]ER dic 20'!$I$8</f>
        <v>4539966</v>
      </c>
      <c r="BI5" s="39">
        <f>SUM(BE5:BH5)</f>
        <v>17816871</v>
      </c>
      <c r="BJ5" s="36">
        <v>18610346</v>
      </c>
      <c r="BK5" s="36">
        <v>4622716.3750000009</v>
      </c>
      <c r="BL5" s="36">
        <v>4658798</v>
      </c>
      <c r="BM5" s="36">
        <v>4768810</v>
      </c>
      <c r="BN5" s="36">
        <v>5293526</v>
      </c>
      <c r="BO5" s="39">
        <f>SUM(BK5:BN5)</f>
        <v>19343850.375</v>
      </c>
      <c r="BP5" s="36">
        <v>19493975</v>
      </c>
      <c r="BQ5" s="36">
        <v>5238163</v>
      </c>
      <c r="BR5" s="36">
        <v>5123916</v>
      </c>
      <c r="BS5" s="36">
        <v>5376831</v>
      </c>
      <c r="BT5" s="36">
        <v>5240810</v>
      </c>
      <c r="BU5" s="39">
        <f>SUM(BQ5:BT5)</f>
        <v>20979720</v>
      </c>
      <c r="BV5" s="36">
        <v>20979720</v>
      </c>
      <c r="BW5" s="36">
        <v>5651028</v>
      </c>
      <c r="BX5" s="36">
        <v>5698236</v>
      </c>
      <c r="BY5" s="36">
        <v>5654198</v>
      </c>
      <c r="BZ5" s="36">
        <v>5966329</v>
      </c>
      <c r="CA5" s="39">
        <f>SUM(BW5:BZ5)</f>
        <v>22969791</v>
      </c>
      <c r="CB5" s="39">
        <f>SUM(BW5:BZ5)</f>
        <v>22969791</v>
      </c>
      <c r="CC5" s="36">
        <v>6030202</v>
      </c>
      <c r="CD5" s="36">
        <v>6103981</v>
      </c>
      <c r="CE5" s="36">
        <v>6334592</v>
      </c>
      <c r="CF5" s="36">
        <v>6615404</v>
      </c>
      <c r="CG5" s="39">
        <f>SUM(CC5:CF5)</f>
        <v>25084179</v>
      </c>
      <c r="CH5" s="39">
        <v>25084179</v>
      </c>
      <c r="CI5" s="36">
        <v>6756570</v>
      </c>
      <c r="CJ5" s="36">
        <v>6645411</v>
      </c>
      <c r="CK5" s="36">
        <v>6646784</v>
      </c>
      <c r="CL5" s="36">
        <v>6990849</v>
      </c>
      <c r="CM5" s="39">
        <f>SUM(CI5:CL5)</f>
        <v>27039614</v>
      </c>
    </row>
    <row r="6" spans="1:91" ht="12" x14ac:dyDescent="0.3">
      <c r="B6" s="29" t="s">
        <v>404</v>
      </c>
      <c r="C6" s="63"/>
      <c r="D6" s="38"/>
      <c r="E6" s="38"/>
      <c r="F6" s="38"/>
      <c r="G6" s="38"/>
      <c r="H6" s="38"/>
      <c r="I6" s="38"/>
      <c r="J6" s="38"/>
      <c r="K6" s="38"/>
      <c r="L6" s="38"/>
      <c r="M6" s="38"/>
      <c r="N6" s="38"/>
      <c r="O6" s="38"/>
      <c r="P6" s="38"/>
      <c r="Q6" s="38"/>
      <c r="R6" s="38"/>
      <c r="S6" s="38"/>
      <c r="T6" s="38"/>
      <c r="U6" s="38"/>
      <c r="V6" s="38"/>
      <c r="W6" s="38"/>
      <c r="X6" s="38"/>
      <c r="Y6" s="38"/>
      <c r="Z6" s="38"/>
      <c r="AA6" s="38"/>
      <c r="AB6" s="39"/>
      <c r="AC6" s="39"/>
      <c r="AD6" s="39"/>
      <c r="AE6" s="39"/>
      <c r="AF6" s="39"/>
      <c r="AG6" s="38"/>
      <c r="AH6" s="38"/>
      <c r="AI6" s="39"/>
      <c r="AJ6" s="39"/>
      <c r="AK6" s="39"/>
      <c r="AL6" s="39"/>
      <c r="AM6" s="38"/>
      <c r="AN6" s="38"/>
      <c r="AO6" s="39"/>
      <c r="AP6" s="39"/>
      <c r="AQ6" s="39"/>
      <c r="AR6" s="39"/>
      <c r="AS6" s="39"/>
      <c r="AT6" s="36"/>
      <c r="AU6" s="36"/>
      <c r="AV6" s="36"/>
      <c r="AW6" s="39"/>
      <c r="AX6" s="36"/>
      <c r="AY6" s="36"/>
      <c r="AZ6" s="36"/>
      <c r="BA6" s="36"/>
      <c r="BB6" s="36"/>
      <c r="BC6" s="39"/>
      <c r="BD6" s="36"/>
      <c r="BE6" s="36"/>
      <c r="BF6" s="36"/>
      <c r="BG6" s="36"/>
      <c r="BH6" s="36"/>
      <c r="BI6" s="39"/>
      <c r="BJ6" s="36"/>
      <c r="BK6" s="36"/>
      <c r="BL6" s="36"/>
      <c r="BM6" s="36"/>
      <c r="BN6" s="36"/>
      <c r="BO6" s="39"/>
      <c r="BP6" s="36"/>
      <c r="BQ6" s="36"/>
      <c r="BR6" s="36"/>
      <c r="BS6" s="36"/>
      <c r="BT6" s="36"/>
      <c r="BU6" s="39"/>
      <c r="BV6" s="36"/>
      <c r="BW6" s="36"/>
      <c r="BX6" s="36"/>
      <c r="BY6" s="36"/>
      <c r="BZ6" s="36"/>
      <c r="CA6" s="39"/>
      <c r="CB6" s="39"/>
      <c r="CC6" s="36"/>
      <c r="CD6" s="36">
        <v>-108626</v>
      </c>
      <c r="CE6" s="36">
        <v>5000</v>
      </c>
      <c r="CF6" s="36">
        <v>49187</v>
      </c>
      <c r="CG6" s="39">
        <f>SUM(CC6:CF6)</f>
        <v>-54439</v>
      </c>
      <c r="CH6" s="39">
        <v>-54439</v>
      </c>
      <c r="CI6" s="36">
        <v>0</v>
      </c>
      <c r="CJ6" s="36">
        <v>0</v>
      </c>
      <c r="CK6" s="36">
        <v>0</v>
      </c>
      <c r="CL6" s="36">
        <v>0</v>
      </c>
      <c r="CM6" s="39">
        <f>SUM(CI6:CL6)</f>
        <v>0</v>
      </c>
    </row>
    <row r="7" spans="1:91" ht="12" hidden="1" x14ac:dyDescent="0.3">
      <c r="B7" s="23" t="s">
        <v>293</v>
      </c>
      <c r="C7" s="63"/>
      <c r="D7" s="38"/>
      <c r="E7" s="38"/>
      <c r="F7" s="38"/>
      <c r="G7" s="38"/>
      <c r="H7" s="38"/>
      <c r="I7" s="38"/>
      <c r="J7" s="38"/>
      <c r="K7" s="38"/>
      <c r="L7" s="38"/>
      <c r="M7" s="38"/>
      <c r="N7" s="38"/>
      <c r="O7" s="38"/>
      <c r="P7" s="38"/>
      <c r="Q7" s="38"/>
      <c r="R7" s="38"/>
      <c r="S7" s="38"/>
      <c r="T7" s="38"/>
      <c r="U7" s="38"/>
      <c r="V7" s="38"/>
      <c r="W7" s="38"/>
      <c r="X7" s="38"/>
      <c r="Y7" s="38"/>
      <c r="Z7" s="38"/>
      <c r="AA7" s="38"/>
      <c r="AB7" s="39"/>
      <c r="AC7" s="39"/>
      <c r="AD7" s="39"/>
      <c r="AE7" s="39"/>
      <c r="AF7" s="39"/>
      <c r="AG7" s="38"/>
      <c r="AH7" s="38"/>
      <c r="AI7" s="39"/>
      <c r="AJ7" s="39"/>
      <c r="AK7" s="39"/>
      <c r="AL7" s="39"/>
      <c r="AM7" s="38"/>
      <c r="AN7" s="38"/>
      <c r="AO7" s="39"/>
      <c r="AP7" s="39"/>
      <c r="AQ7" s="39"/>
      <c r="AR7" s="39"/>
      <c r="AS7" s="39"/>
      <c r="AT7" s="36"/>
      <c r="AU7" s="36"/>
      <c r="AV7" s="36"/>
      <c r="AW7" s="39"/>
      <c r="AX7" s="36"/>
      <c r="AY7" s="36"/>
      <c r="AZ7" s="36"/>
      <c r="BA7" s="36"/>
      <c r="BB7" s="36"/>
      <c r="BC7" s="39"/>
      <c r="BD7" s="36"/>
      <c r="BE7" s="36"/>
      <c r="BF7" s="36">
        <v>-606611</v>
      </c>
      <c r="BG7" s="36">
        <v>-313000</v>
      </c>
      <c r="BH7" s="36">
        <f>'[3]ER dic 20'!$I$9</f>
        <v>89812</v>
      </c>
      <c r="BI7" s="39">
        <f t="shared" ref="BI7:BI13" si="0">SUM(BE7:BH7)</f>
        <v>-829799</v>
      </c>
      <c r="BJ7" s="36">
        <v>-1623274</v>
      </c>
      <c r="BK7" s="36">
        <v>151103.99273</v>
      </c>
      <c r="BL7" s="36">
        <v>82079</v>
      </c>
      <c r="BM7" s="36">
        <v>22421</v>
      </c>
      <c r="BN7" s="36">
        <v>-88182</v>
      </c>
      <c r="BO7" s="39">
        <f t="shared" ref="BO7:BO13" si="1">SUM(BK7:BN7)</f>
        <v>167421.99273</v>
      </c>
      <c r="BP7" s="36">
        <v>17297</v>
      </c>
      <c r="BQ7" s="36">
        <v>-85114</v>
      </c>
      <c r="BR7" s="36">
        <v>0</v>
      </c>
      <c r="BS7" s="36">
        <v>0</v>
      </c>
      <c r="BT7" s="36">
        <v>0</v>
      </c>
      <c r="BU7" s="39">
        <f t="shared" ref="BU7:BU13" si="2">SUM(BQ7:BT7)</f>
        <v>-85114</v>
      </c>
      <c r="BV7" s="36">
        <v>-85114</v>
      </c>
      <c r="BW7" s="36">
        <v>0</v>
      </c>
      <c r="BX7" s="36">
        <v>0</v>
      </c>
      <c r="BY7" s="36">
        <v>0</v>
      </c>
      <c r="BZ7" s="36">
        <v>0</v>
      </c>
      <c r="CA7" s="39">
        <f t="shared" ref="CA7:CA13" si="3">SUM(BW7:BZ7)</f>
        <v>0</v>
      </c>
      <c r="CB7" s="39">
        <f t="shared" ref="CB7:CB13" si="4">SUM(BW7:BZ7)</f>
        <v>0</v>
      </c>
      <c r="CC7" s="36">
        <v>0</v>
      </c>
      <c r="CD7" s="36"/>
      <c r="CE7" s="36"/>
      <c r="CF7" s="36"/>
      <c r="CG7" s="39">
        <f t="shared" ref="CG7:CG13" si="5">SUM(CC7:CF7)</f>
        <v>0</v>
      </c>
      <c r="CH7" s="39">
        <v>0</v>
      </c>
      <c r="CI7" s="36"/>
      <c r="CJ7" s="36"/>
      <c r="CK7" s="36"/>
      <c r="CL7" s="36"/>
      <c r="CM7" s="39">
        <f t="shared" ref="CM7:CM13" si="6">SUM(CI7:CL7)</f>
        <v>0</v>
      </c>
    </row>
    <row r="8" spans="1:91" ht="12" x14ac:dyDescent="0.3">
      <c r="B8" s="23" t="s">
        <v>64</v>
      </c>
      <c r="C8" s="63">
        <v>865.43</v>
      </c>
      <c r="D8" s="38">
        <v>7810.3459999999995</v>
      </c>
      <c r="E8" s="38">
        <v>17988.287</v>
      </c>
      <c r="F8" s="38">
        <v>28266.418000000001</v>
      </c>
      <c r="G8" s="38">
        <v>54930.481</v>
      </c>
      <c r="H8" s="38">
        <v>54930.481</v>
      </c>
      <c r="I8" s="38">
        <v>20854</v>
      </c>
      <c r="J8" s="38">
        <v>37072</v>
      </c>
      <c r="K8" s="38">
        <v>46265</v>
      </c>
      <c r="L8" s="38">
        <v>76332</v>
      </c>
      <c r="M8" s="38">
        <v>180523</v>
      </c>
      <c r="N8" s="38">
        <v>180523</v>
      </c>
      <c r="O8" s="38">
        <v>71762</v>
      </c>
      <c r="P8" s="38">
        <v>59529</v>
      </c>
      <c r="Q8" s="38">
        <v>67891</v>
      </c>
      <c r="R8" s="38">
        <v>38297</v>
      </c>
      <c r="S8" s="38">
        <v>237479</v>
      </c>
      <c r="T8" s="38">
        <v>237479</v>
      </c>
      <c r="U8" s="38">
        <v>212633</v>
      </c>
      <c r="V8" s="38">
        <v>128574</v>
      </c>
      <c r="W8" s="38">
        <v>168402</v>
      </c>
      <c r="X8" s="38">
        <v>198233</v>
      </c>
      <c r="Y8" s="38">
        <v>707842</v>
      </c>
      <c r="Z8" s="38">
        <v>707842</v>
      </c>
      <c r="AA8" s="38">
        <v>193459</v>
      </c>
      <c r="AB8" s="39">
        <v>233955</v>
      </c>
      <c r="AC8" s="39">
        <v>264602</v>
      </c>
      <c r="AD8" s="39">
        <v>271361</v>
      </c>
      <c r="AE8" s="39">
        <v>963377</v>
      </c>
      <c r="AF8" s="39">
        <v>963377</v>
      </c>
      <c r="AG8" s="38">
        <v>290430</v>
      </c>
      <c r="AH8" s="38">
        <v>299738</v>
      </c>
      <c r="AI8" s="39">
        <v>312957</v>
      </c>
      <c r="AJ8" s="39">
        <v>327295</v>
      </c>
      <c r="AK8" s="39">
        <v>1230420</v>
      </c>
      <c r="AL8" s="39">
        <v>1230420</v>
      </c>
      <c r="AM8" s="38">
        <v>312648</v>
      </c>
      <c r="AN8" s="38">
        <v>335099</v>
      </c>
      <c r="AO8" s="39">
        <v>337446</v>
      </c>
      <c r="AP8" s="39">
        <v>414877</v>
      </c>
      <c r="AQ8" s="39">
        <v>1400070</v>
      </c>
      <c r="AR8" s="39">
        <v>1400070</v>
      </c>
      <c r="AS8" s="39">
        <v>363394</v>
      </c>
      <c r="AT8" s="36">
        <v>391731</v>
      </c>
      <c r="AU8" s="36">
        <v>414685</v>
      </c>
      <c r="AV8" s="36">
        <v>419925</v>
      </c>
      <c r="AW8" s="39">
        <v>1589735</v>
      </c>
      <c r="AX8" s="36">
        <v>1589735</v>
      </c>
      <c r="AY8" s="36">
        <v>453619</v>
      </c>
      <c r="AZ8" s="36">
        <v>443499</v>
      </c>
      <c r="BA8" s="36">
        <v>442444</v>
      </c>
      <c r="BB8" s="36">
        <v>485021</v>
      </c>
      <c r="BC8" s="39">
        <v>1824583</v>
      </c>
      <c r="BD8" s="36">
        <v>1824583</v>
      </c>
      <c r="BE8" s="36">
        <v>483328</v>
      </c>
      <c r="BF8" s="36">
        <v>470126</v>
      </c>
      <c r="BG8" s="36">
        <v>454919</v>
      </c>
      <c r="BH8" s="36">
        <f>'[3]ER dic 20'!$I$10</f>
        <v>469216</v>
      </c>
      <c r="BI8" s="39">
        <f t="shared" si="0"/>
        <v>1877589</v>
      </c>
      <c r="BJ8" s="36">
        <v>1926249</v>
      </c>
      <c r="BK8" s="36">
        <v>450145.05578000005</v>
      </c>
      <c r="BL8" s="36">
        <v>472597</v>
      </c>
      <c r="BM8" s="36">
        <v>483684</v>
      </c>
      <c r="BN8" s="36">
        <v>494839</v>
      </c>
      <c r="BO8" s="39">
        <f t="shared" si="1"/>
        <v>1901265.0557800001</v>
      </c>
      <c r="BP8" s="36">
        <v>1905928</v>
      </c>
      <c r="BQ8" s="36">
        <v>498077</v>
      </c>
      <c r="BR8" s="36">
        <v>504365</v>
      </c>
      <c r="BS8" s="36">
        <v>518592</v>
      </c>
      <c r="BT8" s="36">
        <v>555593</v>
      </c>
      <c r="BU8" s="39">
        <f t="shared" si="2"/>
        <v>2076627</v>
      </c>
      <c r="BV8" s="36">
        <v>2076627</v>
      </c>
      <c r="BW8" s="36">
        <v>562155</v>
      </c>
      <c r="BX8" s="36">
        <v>584424</v>
      </c>
      <c r="BY8" s="36">
        <v>606658</v>
      </c>
      <c r="BZ8" s="36">
        <v>631365</v>
      </c>
      <c r="CA8" s="39">
        <f t="shared" si="3"/>
        <v>2384602</v>
      </c>
      <c r="CB8" s="39">
        <f t="shared" si="4"/>
        <v>2384602</v>
      </c>
      <c r="CC8" s="36">
        <v>634003</v>
      </c>
      <c r="CD8" s="36">
        <v>662762</v>
      </c>
      <c r="CE8" s="36">
        <v>688237</v>
      </c>
      <c r="CF8" s="36">
        <v>678090</v>
      </c>
      <c r="CG8" s="39">
        <f t="shared" si="5"/>
        <v>2663092</v>
      </c>
      <c r="CH8" s="39">
        <v>2663092</v>
      </c>
      <c r="CI8" s="36">
        <v>711597</v>
      </c>
      <c r="CJ8" s="36">
        <v>718379</v>
      </c>
      <c r="CK8" s="36">
        <v>730761</v>
      </c>
      <c r="CL8" s="36">
        <v>729667</v>
      </c>
      <c r="CM8" s="39">
        <f t="shared" si="6"/>
        <v>2890404</v>
      </c>
    </row>
    <row r="9" spans="1:91" ht="12" x14ac:dyDescent="0.3">
      <c r="B9" s="29" t="s">
        <v>404</v>
      </c>
      <c r="C9" s="63"/>
      <c r="D9" s="38"/>
      <c r="E9" s="38"/>
      <c r="F9" s="38"/>
      <c r="G9" s="38"/>
      <c r="H9" s="38"/>
      <c r="I9" s="38"/>
      <c r="J9" s="38"/>
      <c r="K9" s="38"/>
      <c r="L9" s="38"/>
      <c r="M9" s="38"/>
      <c r="N9" s="38"/>
      <c r="O9" s="38"/>
      <c r="P9" s="38"/>
      <c r="Q9" s="38"/>
      <c r="R9" s="38"/>
      <c r="S9" s="38"/>
      <c r="T9" s="38"/>
      <c r="U9" s="38"/>
      <c r="V9" s="38"/>
      <c r="W9" s="38"/>
      <c r="X9" s="38"/>
      <c r="Y9" s="38"/>
      <c r="Z9" s="38"/>
      <c r="AA9" s="38"/>
      <c r="AB9" s="39"/>
      <c r="AC9" s="39"/>
      <c r="AD9" s="39"/>
      <c r="AE9" s="39"/>
      <c r="AF9" s="39"/>
      <c r="AG9" s="38"/>
      <c r="AH9" s="38"/>
      <c r="AI9" s="39"/>
      <c r="AJ9" s="39"/>
      <c r="AK9" s="39"/>
      <c r="AL9" s="39"/>
      <c r="AM9" s="38"/>
      <c r="AN9" s="38"/>
      <c r="AO9" s="39"/>
      <c r="AP9" s="39"/>
      <c r="AQ9" s="39"/>
      <c r="AR9" s="39"/>
      <c r="AS9" s="39"/>
      <c r="AT9" s="36"/>
      <c r="AU9" s="36"/>
      <c r="AV9" s="36"/>
      <c r="AW9" s="39"/>
      <c r="AX9" s="36"/>
      <c r="AY9" s="36"/>
      <c r="AZ9" s="36"/>
      <c r="BA9" s="36"/>
      <c r="BB9" s="36"/>
      <c r="BC9" s="39"/>
      <c r="BD9" s="36"/>
      <c r="BE9" s="36"/>
      <c r="BF9" s="36"/>
      <c r="BG9" s="36"/>
      <c r="BH9" s="36"/>
      <c r="BI9" s="39"/>
      <c r="BJ9" s="36"/>
      <c r="BK9" s="36"/>
      <c r="BL9" s="36"/>
      <c r="BM9" s="36"/>
      <c r="BN9" s="36"/>
      <c r="BO9" s="39"/>
      <c r="BP9" s="36"/>
      <c r="BQ9" s="36"/>
      <c r="BR9" s="36"/>
      <c r="BS9" s="36"/>
      <c r="BT9" s="36"/>
      <c r="BU9" s="39"/>
      <c r="BV9" s="36"/>
      <c r="BW9" s="36"/>
      <c r="BX9" s="36"/>
      <c r="BY9" s="36"/>
      <c r="BZ9" s="36"/>
      <c r="CA9" s="39"/>
      <c r="CB9" s="39"/>
      <c r="CC9" s="36"/>
      <c r="CD9" s="36"/>
      <c r="CE9" s="36">
        <v>-5000</v>
      </c>
      <c r="CF9" s="36">
        <v>4431</v>
      </c>
      <c r="CG9" s="39">
        <f t="shared" si="5"/>
        <v>-569</v>
      </c>
      <c r="CH9" s="39">
        <v>-569</v>
      </c>
      <c r="CI9" s="36">
        <v>0</v>
      </c>
      <c r="CJ9" s="36">
        <v>0</v>
      </c>
      <c r="CK9" s="36">
        <v>0</v>
      </c>
      <c r="CL9" s="36">
        <v>0</v>
      </c>
      <c r="CM9" s="39">
        <f t="shared" si="6"/>
        <v>0</v>
      </c>
    </row>
    <row r="10" spans="1:91" ht="12" hidden="1" x14ac:dyDescent="0.3">
      <c r="B10" s="23" t="s">
        <v>293</v>
      </c>
      <c r="C10" s="63"/>
      <c r="D10" s="38"/>
      <c r="E10" s="38"/>
      <c r="F10" s="38"/>
      <c r="G10" s="38"/>
      <c r="H10" s="38"/>
      <c r="I10" s="38"/>
      <c r="J10" s="38"/>
      <c r="K10" s="38"/>
      <c r="L10" s="38"/>
      <c r="M10" s="38"/>
      <c r="N10" s="38"/>
      <c r="O10" s="38"/>
      <c r="P10" s="38"/>
      <c r="Q10" s="38"/>
      <c r="R10" s="38"/>
      <c r="S10" s="38"/>
      <c r="T10" s="38"/>
      <c r="U10" s="38"/>
      <c r="V10" s="38"/>
      <c r="W10" s="38"/>
      <c r="X10" s="38"/>
      <c r="Y10" s="38"/>
      <c r="Z10" s="38"/>
      <c r="AA10" s="38"/>
      <c r="AB10" s="39"/>
      <c r="AC10" s="39"/>
      <c r="AD10" s="39"/>
      <c r="AE10" s="39"/>
      <c r="AF10" s="39"/>
      <c r="AG10" s="38"/>
      <c r="AH10" s="38"/>
      <c r="AI10" s="39"/>
      <c r="AJ10" s="39"/>
      <c r="AK10" s="39"/>
      <c r="AL10" s="39"/>
      <c r="AM10" s="38"/>
      <c r="AN10" s="38"/>
      <c r="AO10" s="39"/>
      <c r="AP10" s="39"/>
      <c r="AQ10" s="39"/>
      <c r="AR10" s="39"/>
      <c r="AS10" s="39"/>
      <c r="AT10" s="36"/>
      <c r="AU10" s="36"/>
      <c r="AV10" s="36"/>
      <c r="AW10" s="39"/>
      <c r="AX10" s="36"/>
      <c r="AY10" s="36"/>
      <c r="AZ10" s="36"/>
      <c r="BA10" s="36"/>
      <c r="BB10" s="36"/>
      <c r="BC10" s="39"/>
      <c r="BD10" s="36"/>
      <c r="BE10" s="36"/>
      <c r="BF10" s="36">
        <v>-92340</v>
      </c>
      <c r="BG10" s="36">
        <v>-18412</v>
      </c>
      <c r="BH10" s="36">
        <f>'[3]ER dic 20'!$I$11</f>
        <v>-3358</v>
      </c>
      <c r="BI10" s="39">
        <f t="shared" si="0"/>
        <v>-114110</v>
      </c>
      <c r="BJ10" s="36">
        <v>-162770</v>
      </c>
      <c r="BK10" s="36">
        <v>-2084.1456100000005</v>
      </c>
      <c r="BL10" s="36">
        <v>-12079</v>
      </c>
      <c r="BM10" s="36">
        <v>-8269</v>
      </c>
      <c r="BN10" s="36">
        <v>27270</v>
      </c>
      <c r="BO10" s="39">
        <f t="shared" si="1"/>
        <v>4837.8543900000004</v>
      </c>
      <c r="BP10" s="36">
        <v>175</v>
      </c>
      <c r="BQ10" s="36">
        <v>112011</v>
      </c>
      <c r="BR10" s="36">
        <v>0</v>
      </c>
      <c r="BS10" s="36">
        <v>0</v>
      </c>
      <c r="BT10" s="36">
        <v>0</v>
      </c>
      <c r="BU10" s="39">
        <f t="shared" si="2"/>
        <v>112011</v>
      </c>
      <c r="BV10" s="36">
        <v>112011</v>
      </c>
      <c r="BW10" s="36">
        <v>0</v>
      </c>
      <c r="BX10" s="36">
        <v>0</v>
      </c>
      <c r="BY10" s="36">
        <v>0</v>
      </c>
      <c r="BZ10" s="36">
        <v>0</v>
      </c>
      <c r="CA10" s="39">
        <f t="shared" si="3"/>
        <v>0</v>
      </c>
      <c r="CB10" s="39">
        <f t="shared" si="4"/>
        <v>0</v>
      </c>
      <c r="CC10" s="36">
        <v>0</v>
      </c>
      <c r="CD10" s="36">
        <v>0</v>
      </c>
      <c r="CE10" s="36"/>
      <c r="CF10" s="36"/>
      <c r="CG10" s="39">
        <f t="shared" si="5"/>
        <v>0</v>
      </c>
      <c r="CH10" s="39">
        <v>0</v>
      </c>
      <c r="CI10" s="36"/>
      <c r="CJ10" s="36"/>
      <c r="CK10" s="36"/>
      <c r="CL10" s="36"/>
      <c r="CM10" s="39">
        <f t="shared" si="6"/>
        <v>0</v>
      </c>
    </row>
    <row r="11" spans="1:91" ht="12" x14ac:dyDescent="0.3">
      <c r="B11" s="23" t="s">
        <v>65</v>
      </c>
      <c r="C11" s="63">
        <v>0</v>
      </c>
      <c r="D11" s="38">
        <v>0</v>
      </c>
      <c r="E11" s="38">
        <v>582.524</v>
      </c>
      <c r="F11" s="38">
        <v>0</v>
      </c>
      <c r="G11" s="38">
        <v>0</v>
      </c>
      <c r="H11" s="38">
        <v>0</v>
      </c>
      <c r="I11" s="38">
        <v>0</v>
      </c>
      <c r="J11" s="38">
        <v>0</v>
      </c>
      <c r="K11" s="38">
        <v>0</v>
      </c>
      <c r="L11" s="38">
        <v>0</v>
      </c>
      <c r="M11" s="38">
        <v>0</v>
      </c>
      <c r="N11" s="38">
        <v>0</v>
      </c>
      <c r="O11" s="38">
        <v>0</v>
      </c>
      <c r="P11" s="38">
        <v>0</v>
      </c>
      <c r="Q11" s="38">
        <v>0</v>
      </c>
      <c r="R11" s="38">
        <v>100312</v>
      </c>
      <c r="S11" s="38">
        <v>100312</v>
      </c>
      <c r="T11" s="38">
        <v>100312</v>
      </c>
      <c r="U11" s="38">
        <v>29222</v>
      </c>
      <c r="V11" s="38">
        <v>29298</v>
      </c>
      <c r="W11" s="38">
        <v>29476</v>
      </c>
      <c r="X11" s="38">
        <v>36391</v>
      </c>
      <c r="Y11" s="38">
        <v>124387</v>
      </c>
      <c r="Z11" s="38">
        <v>124387</v>
      </c>
      <c r="AA11" s="38">
        <v>33329</v>
      </c>
      <c r="AB11" s="39">
        <v>34474</v>
      </c>
      <c r="AC11" s="39">
        <v>37408</v>
      </c>
      <c r="AD11" s="39">
        <v>43362</v>
      </c>
      <c r="AE11" s="39">
        <v>148573</v>
      </c>
      <c r="AF11" s="39">
        <v>148573</v>
      </c>
      <c r="AG11" s="38">
        <v>37684</v>
      </c>
      <c r="AH11" s="38">
        <v>38332</v>
      </c>
      <c r="AI11" s="39">
        <v>39971</v>
      </c>
      <c r="AJ11" s="39">
        <v>41834</v>
      </c>
      <c r="AK11" s="39">
        <v>157821</v>
      </c>
      <c r="AL11" s="39">
        <v>157821</v>
      </c>
      <c r="AM11" s="38">
        <v>63550</v>
      </c>
      <c r="AN11" s="38">
        <v>61606</v>
      </c>
      <c r="AO11" s="39">
        <v>61268</v>
      </c>
      <c r="AP11" s="39">
        <v>68522</v>
      </c>
      <c r="AQ11" s="39">
        <v>254946</v>
      </c>
      <c r="AR11" s="39">
        <v>254946</v>
      </c>
      <c r="AS11" s="39">
        <v>55667</v>
      </c>
      <c r="AT11" s="36">
        <v>61605</v>
      </c>
      <c r="AU11" s="36">
        <v>71419</v>
      </c>
      <c r="AV11" s="36">
        <v>78893</v>
      </c>
      <c r="AW11" s="39">
        <v>267584</v>
      </c>
      <c r="AX11" s="36">
        <v>267584</v>
      </c>
      <c r="AY11" s="36">
        <v>78481</v>
      </c>
      <c r="AZ11" s="36">
        <v>88922</v>
      </c>
      <c r="BA11" s="36">
        <v>92617</v>
      </c>
      <c r="BB11" s="36">
        <v>91504</v>
      </c>
      <c r="BC11" s="39">
        <v>351524</v>
      </c>
      <c r="BD11" s="36">
        <v>351524</v>
      </c>
      <c r="BE11" s="36">
        <v>90424</v>
      </c>
      <c r="BF11" s="36">
        <v>68146</v>
      </c>
      <c r="BG11" s="36">
        <v>84963</v>
      </c>
      <c r="BH11" s="36">
        <f>'[3]ER dic 20'!$I$12</f>
        <v>73212</v>
      </c>
      <c r="BI11" s="39">
        <f t="shared" si="0"/>
        <v>316745</v>
      </c>
      <c r="BJ11" s="36">
        <v>316745</v>
      </c>
      <c r="BK11" s="36">
        <v>128021</v>
      </c>
      <c r="BL11" s="36">
        <v>61239</v>
      </c>
      <c r="BM11" s="36">
        <v>103149</v>
      </c>
      <c r="BN11" s="36">
        <v>65959</v>
      </c>
      <c r="BO11" s="39">
        <f t="shared" si="1"/>
        <v>358368</v>
      </c>
      <c r="BP11" s="36">
        <v>358368</v>
      </c>
      <c r="BQ11" s="36">
        <v>61436</v>
      </c>
      <c r="BR11" s="36">
        <v>91559</v>
      </c>
      <c r="BS11" s="36">
        <v>42877</v>
      </c>
      <c r="BT11" s="36">
        <v>75585</v>
      </c>
      <c r="BU11" s="39">
        <f t="shared" si="2"/>
        <v>271457</v>
      </c>
      <c r="BV11" s="36">
        <v>271458</v>
      </c>
      <c r="BW11" s="36">
        <v>55031</v>
      </c>
      <c r="BX11" s="36">
        <v>56491</v>
      </c>
      <c r="BY11" s="36">
        <v>79295</v>
      </c>
      <c r="BZ11" s="36">
        <v>74078</v>
      </c>
      <c r="CA11" s="39">
        <f t="shared" si="3"/>
        <v>264895</v>
      </c>
      <c r="CB11" s="39">
        <f t="shared" si="4"/>
        <v>264895</v>
      </c>
      <c r="CC11" s="36">
        <v>53419</v>
      </c>
      <c r="CD11" s="36">
        <v>54314</v>
      </c>
      <c r="CE11" s="36">
        <v>59204</v>
      </c>
      <c r="CF11" s="36">
        <v>103694</v>
      </c>
      <c r="CG11" s="39">
        <f t="shared" si="5"/>
        <v>270631</v>
      </c>
      <c r="CH11" s="39">
        <v>270631</v>
      </c>
      <c r="CI11" s="36">
        <v>59893</v>
      </c>
      <c r="CJ11" s="36">
        <v>62881</v>
      </c>
      <c r="CK11" s="36">
        <v>72382</v>
      </c>
      <c r="CL11" s="36">
        <v>76963</v>
      </c>
      <c r="CM11" s="39">
        <f t="shared" si="6"/>
        <v>272119</v>
      </c>
    </row>
    <row r="12" spans="1:91" ht="12" x14ac:dyDescent="0.3">
      <c r="B12" s="23" t="s">
        <v>353</v>
      </c>
      <c r="C12" s="63"/>
      <c r="D12" s="38"/>
      <c r="E12" s="38"/>
      <c r="F12" s="38"/>
      <c r="G12" s="38"/>
      <c r="H12" s="38"/>
      <c r="I12" s="38"/>
      <c r="J12" s="38"/>
      <c r="K12" s="38"/>
      <c r="L12" s="38"/>
      <c r="M12" s="38"/>
      <c r="N12" s="38"/>
      <c r="O12" s="38"/>
      <c r="P12" s="38"/>
      <c r="Q12" s="38"/>
      <c r="R12" s="38"/>
      <c r="S12" s="38"/>
      <c r="T12" s="38"/>
      <c r="U12" s="38"/>
      <c r="V12" s="38"/>
      <c r="W12" s="38"/>
      <c r="X12" s="38"/>
      <c r="Y12" s="38"/>
      <c r="Z12" s="38"/>
      <c r="AA12" s="38"/>
      <c r="AB12" s="39"/>
      <c r="AC12" s="39"/>
      <c r="AD12" s="39"/>
      <c r="AE12" s="39"/>
      <c r="AF12" s="39"/>
      <c r="AG12" s="38"/>
      <c r="AH12" s="38"/>
      <c r="AI12" s="39"/>
      <c r="AJ12" s="39"/>
      <c r="AK12" s="39"/>
      <c r="AL12" s="39"/>
      <c r="AM12" s="38"/>
      <c r="AN12" s="38"/>
      <c r="AO12" s="39"/>
      <c r="AP12" s="39"/>
      <c r="AQ12" s="39"/>
      <c r="AR12" s="39"/>
      <c r="AS12" s="39"/>
      <c r="AT12" s="36"/>
      <c r="AU12" s="36"/>
      <c r="AV12" s="36"/>
      <c r="AW12" s="39"/>
      <c r="AX12" s="36"/>
      <c r="AY12" s="36"/>
      <c r="AZ12" s="36"/>
      <c r="BA12" s="36"/>
      <c r="BB12" s="36"/>
      <c r="BC12" s="39"/>
      <c r="BD12" s="36"/>
      <c r="BE12" s="36"/>
      <c r="BF12" s="36"/>
      <c r="BG12" s="36"/>
      <c r="BH12" s="36"/>
      <c r="BI12" s="39"/>
      <c r="BJ12" s="36"/>
      <c r="BK12" s="36"/>
      <c r="BL12" s="36"/>
      <c r="BM12" s="36"/>
      <c r="BN12" s="36"/>
      <c r="BO12" s="39"/>
      <c r="BP12" s="36"/>
      <c r="BQ12" s="36"/>
      <c r="BR12" s="36"/>
      <c r="BS12" s="36"/>
      <c r="BT12" s="36">
        <v>308665</v>
      </c>
      <c r="BU12" s="39">
        <f t="shared" si="2"/>
        <v>308665</v>
      </c>
      <c r="BV12" s="36">
        <v>308665</v>
      </c>
      <c r="BW12" s="36">
        <v>75666</v>
      </c>
      <c r="BX12" s="36">
        <v>72279</v>
      </c>
      <c r="BY12" s="36">
        <v>74392</v>
      </c>
      <c r="BZ12" s="36">
        <v>74391</v>
      </c>
      <c r="CA12" s="39">
        <f t="shared" si="3"/>
        <v>296728</v>
      </c>
      <c r="CB12" s="39">
        <f t="shared" si="4"/>
        <v>296728</v>
      </c>
      <c r="CC12" s="36">
        <v>74392</v>
      </c>
      <c r="CD12" s="36">
        <v>74392</v>
      </c>
      <c r="CE12" s="36">
        <v>74391</v>
      </c>
      <c r="CF12" s="36">
        <v>74392</v>
      </c>
      <c r="CG12" s="39">
        <f t="shared" si="5"/>
        <v>297567</v>
      </c>
      <c r="CH12" s="39">
        <v>297567</v>
      </c>
      <c r="CI12" s="36">
        <v>74392</v>
      </c>
      <c r="CJ12" s="36">
        <v>74392</v>
      </c>
      <c r="CK12" s="36">
        <v>74391</v>
      </c>
      <c r="CL12" s="36">
        <v>74392</v>
      </c>
      <c r="CM12" s="39">
        <f t="shared" si="6"/>
        <v>297567</v>
      </c>
    </row>
    <row r="13" spans="1:91" ht="12" x14ac:dyDescent="0.3">
      <c r="B13" s="23" t="s">
        <v>66</v>
      </c>
      <c r="C13" s="63"/>
      <c r="D13" s="38"/>
      <c r="E13" s="38"/>
      <c r="F13" s="38"/>
      <c r="G13" s="38">
        <v>592.48299999999995</v>
      </c>
      <c r="H13" s="38">
        <v>592.48299999999995</v>
      </c>
      <c r="I13" s="38"/>
      <c r="J13" s="38"/>
      <c r="K13" s="38"/>
      <c r="L13" s="38"/>
      <c r="M13" s="38"/>
      <c r="N13" s="38"/>
      <c r="O13" s="38"/>
      <c r="P13" s="38"/>
      <c r="Q13" s="38"/>
      <c r="R13" s="38"/>
      <c r="S13" s="38"/>
      <c r="T13" s="38"/>
      <c r="U13" s="38"/>
      <c r="V13" s="38"/>
      <c r="W13" s="38"/>
      <c r="X13" s="38"/>
      <c r="Y13" s="38"/>
      <c r="Z13" s="38"/>
      <c r="AA13" s="38"/>
      <c r="AB13" s="39"/>
      <c r="AC13" s="39">
        <v>19583</v>
      </c>
      <c r="AD13" s="39">
        <v>18750</v>
      </c>
      <c r="AE13" s="39">
        <v>38333</v>
      </c>
      <c r="AF13" s="39">
        <v>38333</v>
      </c>
      <c r="AG13" s="38">
        <v>18750</v>
      </c>
      <c r="AH13" s="38">
        <v>18750</v>
      </c>
      <c r="AI13" s="39">
        <v>18750</v>
      </c>
      <c r="AJ13" s="39">
        <v>51750</v>
      </c>
      <c r="AK13" s="39">
        <v>108000</v>
      </c>
      <c r="AL13" s="39">
        <v>108000</v>
      </c>
      <c r="AM13" s="38">
        <v>48750</v>
      </c>
      <c r="AN13" s="38">
        <v>47238</v>
      </c>
      <c r="AO13" s="39">
        <v>34591</v>
      </c>
      <c r="AP13" s="39">
        <v>165497</v>
      </c>
      <c r="AQ13" s="39">
        <v>296076</v>
      </c>
      <c r="AR13" s="39">
        <v>296076</v>
      </c>
      <c r="AS13" s="39">
        <v>26232</v>
      </c>
      <c r="AT13" s="36">
        <v>33276</v>
      </c>
      <c r="AU13" s="36">
        <v>20698</v>
      </c>
      <c r="AV13" s="36">
        <v>20416</v>
      </c>
      <c r="AW13" s="39">
        <v>100622</v>
      </c>
      <c r="AX13" s="36">
        <v>100622</v>
      </c>
      <c r="AY13" s="36">
        <v>20069</v>
      </c>
      <c r="AZ13" s="36">
        <v>65814</v>
      </c>
      <c r="BA13" s="36">
        <v>43610</v>
      </c>
      <c r="BB13" s="36">
        <v>40349</v>
      </c>
      <c r="BC13" s="39">
        <v>169842</v>
      </c>
      <c r="BD13" s="36">
        <v>169842</v>
      </c>
      <c r="BE13" s="36">
        <v>48005</v>
      </c>
      <c r="BF13" s="36">
        <v>34272</v>
      </c>
      <c r="BG13" s="36">
        <v>21083</v>
      </c>
      <c r="BH13" s="36">
        <f>'[3]ER dic 20'!$I$13</f>
        <v>22579</v>
      </c>
      <c r="BI13" s="39">
        <f t="shared" si="0"/>
        <v>125939</v>
      </c>
      <c r="BJ13" s="36">
        <v>125939</v>
      </c>
      <c r="BK13" s="36">
        <v>19589</v>
      </c>
      <c r="BL13" s="36">
        <v>22912</v>
      </c>
      <c r="BM13" s="36">
        <v>25791</v>
      </c>
      <c r="BN13" s="36">
        <v>24675</v>
      </c>
      <c r="BO13" s="39">
        <f t="shared" si="1"/>
        <v>92967</v>
      </c>
      <c r="BP13" s="36">
        <v>92967</v>
      </c>
      <c r="BQ13" s="36">
        <v>24801</v>
      </c>
      <c r="BR13" s="36">
        <v>81484</v>
      </c>
      <c r="BS13" s="36">
        <v>80127</v>
      </c>
      <c r="BT13" s="36">
        <v>50908</v>
      </c>
      <c r="BU13" s="39">
        <f t="shared" si="2"/>
        <v>237320</v>
      </c>
      <c r="BV13" s="36">
        <v>237320</v>
      </c>
      <c r="BW13" s="36">
        <v>33711</v>
      </c>
      <c r="BX13" s="36">
        <v>37202</v>
      </c>
      <c r="BY13" s="36">
        <v>33569</v>
      </c>
      <c r="BZ13" s="36">
        <v>36839</v>
      </c>
      <c r="CA13" s="39">
        <f t="shared" si="3"/>
        <v>141321</v>
      </c>
      <c r="CB13" s="39">
        <f t="shared" si="4"/>
        <v>141321</v>
      </c>
      <c r="CC13" s="36">
        <v>31749</v>
      </c>
      <c r="CD13" s="36">
        <v>25148</v>
      </c>
      <c r="CE13" s="36">
        <v>4008</v>
      </c>
      <c r="CF13" s="36">
        <v>3291</v>
      </c>
      <c r="CG13" s="39">
        <f t="shared" si="5"/>
        <v>64196</v>
      </c>
      <c r="CH13" s="39">
        <v>64196</v>
      </c>
      <c r="CI13" s="36">
        <v>2327</v>
      </c>
      <c r="CJ13" s="36">
        <v>4203</v>
      </c>
      <c r="CK13" s="36">
        <v>998</v>
      </c>
      <c r="CL13" s="36">
        <v>1586</v>
      </c>
      <c r="CM13" s="39">
        <f t="shared" si="6"/>
        <v>9114</v>
      </c>
    </row>
    <row r="14" spans="1:91" s="51" customFormat="1" ht="12" x14ac:dyDescent="0.3">
      <c r="C14" s="64">
        <v>15568.967000000001</v>
      </c>
      <c r="D14" s="37">
        <v>118032.10400000001</v>
      </c>
      <c r="E14" s="37">
        <v>187803.03600000002</v>
      </c>
      <c r="F14" s="37">
        <v>210308.785</v>
      </c>
      <c r="G14" s="37">
        <v>531722.85</v>
      </c>
      <c r="H14" s="69">
        <f>SUM(H5:H13)</f>
        <v>531722.85</v>
      </c>
      <c r="I14" s="37">
        <v>198427</v>
      </c>
      <c r="J14" s="37">
        <v>401935</v>
      </c>
      <c r="K14" s="37">
        <v>523855</v>
      </c>
      <c r="L14" s="37">
        <v>429002</v>
      </c>
      <c r="M14" s="37">
        <v>1553219</v>
      </c>
      <c r="N14" s="69">
        <f>SUM(N5:N13)</f>
        <v>1553219</v>
      </c>
      <c r="O14" s="37">
        <v>710222</v>
      </c>
      <c r="P14" s="37">
        <v>949102</v>
      </c>
      <c r="Q14" s="37">
        <v>1061145</v>
      </c>
      <c r="R14" s="37">
        <v>1183633</v>
      </c>
      <c r="S14" s="37">
        <v>3904102</v>
      </c>
      <c r="T14" s="69">
        <f>SUM(T5:T13)</f>
        <v>3904102</v>
      </c>
      <c r="U14" s="37">
        <v>1697943</v>
      </c>
      <c r="V14" s="37">
        <v>1982099</v>
      </c>
      <c r="W14" s="37">
        <v>2020125</v>
      </c>
      <c r="X14" s="37">
        <v>2121813</v>
      </c>
      <c r="Y14" s="37">
        <v>7821980</v>
      </c>
      <c r="Z14" s="69">
        <f>SUM(Z5:Z13)</f>
        <v>7821980</v>
      </c>
      <c r="AA14" s="37">
        <v>2225502</v>
      </c>
      <c r="AB14" s="37">
        <v>2509202</v>
      </c>
      <c r="AC14" s="37">
        <v>2871645</v>
      </c>
      <c r="AD14" s="37">
        <v>3118550</v>
      </c>
      <c r="AE14" s="69">
        <v>10724899</v>
      </c>
      <c r="AF14" s="69">
        <f>SUM(AF5:AF13)</f>
        <v>10724899</v>
      </c>
      <c r="AG14" s="37">
        <v>3174161</v>
      </c>
      <c r="AH14" s="37">
        <v>3187557</v>
      </c>
      <c r="AI14" s="37">
        <v>3359100</v>
      </c>
      <c r="AJ14" s="37">
        <v>3532030</v>
      </c>
      <c r="AK14" s="69">
        <v>13252848</v>
      </c>
      <c r="AL14" s="69">
        <f>SUM(AL5:AL13)</f>
        <v>13252848</v>
      </c>
      <c r="AM14" s="37">
        <v>3563962</v>
      </c>
      <c r="AN14" s="37">
        <v>3580056</v>
      </c>
      <c r="AO14" s="37">
        <v>3573245</v>
      </c>
      <c r="AP14" s="37">
        <v>3903857</v>
      </c>
      <c r="AQ14" s="69">
        <v>14621120</v>
      </c>
      <c r="AR14" s="69">
        <f>SUM(AR5:AR13)</f>
        <v>14621120</v>
      </c>
      <c r="AS14" s="37">
        <v>4129806</v>
      </c>
      <c r="AT14" s="37">
        <v>4215178</v>
      </c>
      <c r="AU14" s="37">
        <v>4345347</v>
      </c>
      <c r="AV14" s="37">
        <v>4514798</v>
      </c>
      <c r="AW14" s="69">
        <v>17205129</v>
      </c>
      <c r="AX14" s="69">
        <f>SUM(AX5:AX13)</f>
        <v>17205129</v>
      </c>
      <c r="AY14" s="37">
        <v>4603191</v>
      </c>
      <c r="AZ14" s="37">
        <v>4736936</v>
      </c>
      <c r="BA14" s="37">
        <v>4755855</v>
      </c>
      <c r="BB14" s="37">
        <v>5093101</v>
      </c>
      <c r="BC14" s="69">
        <v>19189083</v>
      </c>
      <c r="BD14" s="69">
        <f>SUM(BD5:BD13)</f>
        <v>19189083</v>
      </c>
      <c r="BE14" s="37">
        <v>5169237</v>
      </c>
      <c r="BF14" s="37">
        <v>4298271</v>
      </c>
      <c r="BG14" s="37">
        <f>SUM(BG5:BG13)</f>
        <v>4534300</v>
      </c>
      <c r="BH14" s="37">
        <f>SUM(BH5:BH13)</f>
        <v>5191427</v>
      </c>
      <c r="BI14" s="69">
        <f>SUM(BE14:BH14)</f>
        <v>19193235</v>
      </c>
      <c r="BJ14" s="69">
        <f>SUM(BJ5:BJ13)</f>
        <v>19193235</v>
      </c>
      <c r="BK14" s="37">
        <f>SUM(BK5:BK13)</f>
        <v>5369491.277900001</v>
      </c>
      <c r="BL14" s="37">
        <f>SUM(BL5:BL13)</f>
        <v>5285546</v>
      </c>
      <c r="BM14" s="37">
        <f>SUM(BM5:BM13)</f>
        <v>5395586</v>
      </c>
      <c r="BN14" s="37">
        <f>SUM(BN5:BN13)</f>
        <v>5818087</v>
      </c>
      <c r="BO14" s="69">
        <f>SUM(BK14:BN14)</f>
        <v>21868710.277900003</v>
      </c>
      <c r="BP14" s="69">
        <f>SUM(BP5:BP13)</f>
        <v>21868710</v>
      </c>
      <c r="BQ14" s="37">
        <f>SUM(BQ5:BQ13)</f>
        <v>5849374</v>
      </c>
      <c r="BR14" s="37">
        <f>SUM(BR5:BR13)</f>
        <v>5801324</v>
      </c>
      <c r="BS14" s="37">
        <f>SUM(BS5:BS13)</f>
        <v>6018427</v>
      </c>
      <c r="BT14" s="37">
        <f>SUM(BT5:BT13)</f>
        <v>6231561</v>
      </c>
      <c r="BU14" s="69">
        <f>SUM(BQ14:BT14)</f>
        <v>23900686</v>
      </c>
      <c r="BV14" s="69">
        <f>SUM(BV5:BV13)</f>
        <v>23900687</v>
      </c>
      <c r="BW14" s="37">
        <f>SUM(BW5:BW13)</f>
        <v>6377591</v>
      </c>
      <c r="BX14" s="37">
        <f>SUM(BX5:BX13)</f>
        <v>6448632</v>
      </c>
      <c r="BY14" s="37">
        <f>SUM(BY5:BY13)</f>
        <v>6448112</v>
      </c>
      <c r="BZ14" s="37">
        <f>SUM(BZ5:BZ13)</f>
        <v>6783002</v>
      </c>
      <c r="CA14" s="69">
        <f>SUM(BW14:BZ14)</f>
        <v>26057337</v>
      </c>
      <c r="CB14" s="69">
        <f>SUM(BW14:BZ14)</f>
        <v>26057337</v>
      </c>
      <c r="CC14" s="37">
        <f t="shared" ref="CC14:CM14" si="7">SUM(CC5:CC13)</f>
        <v>6823765</v>
      </c>
      <c r="CD14" s="37">
        <f t="shared" si="7"/>
        <v>6811971</v>
      </c>
      <c r="CE14" s="37">
        <f t="shared" si="7"/>
        <v>7160432</v>
      </c>
      <c r="CF14" s="37">
        <f t="shared" si="7"/>
        <v>7528489</v>
      </c>
      <c r="CG14" s="37">
        <f t="shared" si="7"/>
        <v>28324657</v>
      </c>
      <c r="CH14" s="37">
        <f t="shared" si="7"/>
        <v>28324657</v>
      </c>
      <c r="CI14" s="37">
        <f t="shared" si="7"/>
        <v>7604779</v>
      </c>
      <c r="CJ14" s="37">
        <f t="shared" si="7"/>
        <v>7505266</v>
      </c>
      <c r="CK14" s="37">
        <f t="shared" si="7"/>
        <v>7525316</v>
      </c>
      <c r="CL14" s="37">
        <f t="shared" si="7"/>
        <v>7873457</v>
      </c>
      <c r="CM14" s="37">
        <f t="shared" si="7"/>
        <v>30508818</v>
      </c>
    </row>
    <row r="15" spans="1:91" ht="3" customHeight="1" x14ac:dyDescent="0.3">
      <c r="C15" s="65"/>
      <c r="D15" s="66"/>
      <c r="E15" s="66"/>
      <c r="F15" s="38"/>
      <c r="G15" s="66"/>
      <c r="H15" s="66"/>
      <c r="I15" s="66"/>
      <c r="J15" s="66"/>
      <c r="K15" s="66"/>
      <c r="L15" s="66"/>
      <c r="M15" s="66"/>
      <c r="N15" s="66"/>
      <c r="O15" s="66"/>
      <c r="P15" s="66"/>
      <c r="Q15" s="66"/>
      <c r="R15" s="66"/>
      <c r="S15" s="66"/>
      <c r="T15" s="66"/>
      <c r="U15" s="66"/>
      <c r="V15" s="66"/>
      <c r="W15" s="66"/>
      <c r="X15" s="66"/>
      <c r="Y15" s="66"/>
      <c r="Z15" s="66"/>
      <c r="AA15" s="66"/>
      <c r="AB15" s="67"/>
      <c r="AC15" s="67"/>
      <c r="AD15" s="67"/>
      <c r="AE15" s="67"/>
      <c r="AF15" s="67"/>
      <c r="AG15" s="66"/>
      <c r="AH15" s="66"/>
      <c r="AI15" s="67"/>
      <c r="AJ15" s="67"/>
      <c r="AK15" s="67"/>
      <c r="AL15" s="67"/>
      <c r="AM15" s="66"/>
      <c r="AN15" s="66"/>
      <c r="AO15" s="67"/>
      <c r="AP15" s="67"/>
      <c r="AQ15" s="67"/>
      <c r="AR15" s="67"/>
      <c r="AS15" s="67"/>
      <c r="AT15" s="47"/>
      <c r="AU15" s="47"/>
      <c r="AV15" s="47"/>
      <c r="AW15" s="67"/>
      <c r="AX15" s="47"/>
      <c r="AY15" s="47"/>
      <c r="AZ15" s="47"/>
      <c r="BA15" s="47"/>
      <c r="BB15" s="47"/>
      <c r="BC15" s="67"/>
      <c r="BD15" s="47"/>
      <c r="BE15" s="47"/>
      <c r="BF15" s="47"/>
      <c r="BG15" s="47"/>
      <c r="BH15" s="47"/>
      <c r="BI15" s="67"/>
      <c r="BJ15" s="47"/>
      <c r="BK15" s="47"/>
      <c r="BL15" s="47"/>
      <c r="BM15" s="47"/>
      <c r="BN15" s="47"/>
      <c r="BO15" s="67"/>
      <c r="BP15" s="47"/>
      <c r="BQ15" s="47"/>
      <c r="BR15" s="47"/>
      <c r="BS15" s="47"/>
      <c r="BT15" s="47"/>
      <c r="BU15" s="67"/>
      <c r="BV15" s="47"/>
      <c r="BW15" s="47"/>
      <c r="BX15" s="47"/>
      <c r="BY15" s="47"/>
      <c r="BZ15" s="47"/>
      <c r="CA15" s="67"/>
      <c r="CB15" s="67"/>
      <c r="CC15" s="47"/>
      <c r="CD15" s="47"/>
      <c r="CE15" s="47"/>
      <c r="CF15" s="47"/>
      <c r="CG15" s="67"/>
      <c r="CH15" s="67"/>
      <c r="CI15" s="47"/>
      <c r="CJ15" s="47"/>
      <c r="CK15" s="47"/>
      <c r="CL15" s="47"/>
      <c r="CM15" s="67"/>
    </row>
    <row r="16" spans="1:91" ht="12" x14ac:dyDescent="0.3">
      <c r="B16" s="23" t="s">
        <v>67</v>
      </c>
      <c r="C16" s="63">
        <v>-1249.3710000000001</v>
      </c>
      <c r="D16" s="38">
        <v>-20510.011999999999</v>
      </c>
      <c r="E16" s="38">
        <v>-19904.679</v>
      </c>
      <c r="F16" s="38">
        <v>-48920.45</v>
      </c>
      <c r="G16" s="38">
        <v>-32170.057000000001</v>
      </c>
      <c r="H16" s="38">
        <v>-32170.057000000001</v>
      </c>
      <c r="I16" s="38">
        <v>-14771</v>
      </c>
      <c r="J16" s="38">
        <v>-23845</v>
      </c>
      <c r="K16" s="38">
        <v>-43865</v>
      </c>
      <c r="L16" s="38">
        <v>-96249</v>
      </c>
      <c r="M16" s="38">
        <v>-178730</v>
      </c>
      <c r="N16" s="38">
        <v>-178730</v>
      </c>
      <c r="O16" s="38">
        <v>-37927</v>
      </c>
      <c r="P16" s="38">
        <v>-99038</v>
      </c>
      <c r="Q16" s="38">
        <v>-98630</v>
      </c>
      <c r="R16" s="38">
        <v>-92592</v>
      </c>
      <c r="S16" s="38">
        <v>-328187</v>
      </c>
      <c r="T16" s="38">
        <v>-328187</v>
      </c>
      <c r="U16" s="38">
        <v>-93507</v>
      </c>
      <c r="V16" s="38">
        <v>-103472</v>
      </c>
      <c r="W16" s="38">
        <v>-154556</v>
      </c>
      <c r="X16" s="38">
        <v>-139297</v>
      </c>
      <c r="Y16" s="38">
        <v>-490832</v>
      </c>
      <c r="Z16" s="38">
        <v>-490832</v>
      </c>
      <c r="AA16" s="38">
        <v>-150945</v>
      </c>
      <c r="AB16" s="39">
        <v>-152240</v>
      </c>
      <c r="AC16" s="39">
        <v>-152648</v>
      </c>
      <c r="AD16" s="39">
        <v>-157095</v>
      </c>
      <c r="AE16" s="39">
        <v>-612928</v>
      </c>
      <c r="AF16" s="39">
        <v>-612928</v>
      </c>
      <c r="AG16" s="38">
        <v>-166011</v>
      </c>
      <c r="AH16" s="38">
        <v>-169556</v>
      </c>
      <c r="AI16" s="39">
        <v>-170745</v>
      </c>
      <c r="AJ16" s="39">
        <v>-172374</v>
      </c>
      <c r="AK16" s="39">
        <v>-678686</v>
      </c>
      <c r="AL16" s="39">
        <v>-678686</v>
      </c>
      <c r="AM16" s="38">
        <v>-178728</v>
      </c>
      <c r="AN16" s="38">
        <v>-183285</v>
      </c>
      <c r="AO16" s="39">
        <v>-186934</v>
      </c>
      <c r="AP16" s="39">
        <v>-204547</v>
      </c>
      <c r="AQ16" s="39">
        <v>-753494</v>
      </c>
      <c r="AR16" s="39">
        <v>-753494</v>
      </c>
      <c r="AS16" s="39">
        <v>-201708</v>
      </c>
      <c r="AT16" s="36">
        <v>-207027</v>
      </c>
      <c r="AU16" s="36">
        <v>-212332</v>
      </c>
      <c r="AV16" s="36">
        <v>-215431</v>
      </c>
      <c r="AW16" s="39">
        <v>-836498</v>
      </c>
      <c r="AX16" s="36">
        <v>-836498</v>
      </c>
      <c r="AY16" s="36">
        <v>-222923</v>
      </c>
      <c r="AZ16" s="36">
        <v>-220256</v>
      </c>
      <c r="BA16" s="36">
        <v>-230000</v>
      </c>
      <c r="BB16" s="36">
        <v>-225329</v>
      </c>
      <c r="BC16" s="39">
        <v>-898508</v>
      </c>
      <c r="BD16" s="36">
        <v>-898508</v>
      </c>
      <c r="BE16" s="36">
        <v>-214592</v>
      </c>
      <c r="BF16" s="36">
        <v>-189373</v>
      </c>
      <c r="BG16" s="36">
        <v>-207555</v>
      </c>
      <c r="BH16" s="36">
        <f>'[3]ER dic 20'!$I$16</f>
        <v>-249267</v>
      </c>
      <c r="BI16" s="39">
        <f t="shared" ref="BI16:BI20" si="8">SUM(BE16:BH16)</f>
        <v>-860787</v>
      </c>
      <c r="BJ16" s="36">
        <v>-860787</v>
      </c>
      <c r="BK16" s="36">
        <v>-220781</v>
      </c>
      <c r="BL16" s="36">
        <v>-225303</v>
      </c>
      <c r="BM16" s="36">
        <f>'[4]IS (MXN)'!$BH$12</f>
        <v>-222499</v>
      </c>
      <c r="BN16" s="36">
        <v>-213525</v>
      </c>
      <c r="BO16" s="39">
        <f t="shared" ref="BO16:BO20" si="9">SUM(BK16:BN16)</f>
        <v>-882108</v>
      </c>
      <c r="BP16" s="36">
        <v>-882108</v>
      </c>
      <c r="BQ16" s="36">
        <v>-221962</v>
      </c>
      <c r="BR16" s="36">
        <v>-225043</v>
      </c>
      <c r="BS16" s="36">
        <v>-220830</v>
      </c>
      <c r="BT16" s="160">
        <v>-252389</v>
      </c>
      <c r="BU16" s="39">
        <f t="shared" ref="BU16:BU20" si="10">SUM(BQ16:BT16)</f>
        <v>-920224</v>
      </c>
      <c r="BV16" s="36">
        <v>-920224</v>
      </c>
      <c r="BW16" s="36">
        <v>-241756</v>
      </c>
      <c r="BX16" s="36">
        <v>-263733</v>
      </c>
      <c r="BY16" s="36">
        <v>-260237</v>
      </c>
      <c r="BZ16" s="160">
        <v>-248208</v>
      </c>
      <c r="CA16" s="39">
        <f t="shared" ref="CA16" si="11">SUM(BW16:BZ16)</f>
        <v>-1013934</v>
      </c>
      <c r="CB16" s="39">
        <f t="shared" ref="CB16:CB21" si="12">SUM(BW16:BZ16)</f>
        <v>-1013934</v>
      </c>
      <c r="CC16" s="36">
        <v>-254200</v>
      </c>
      <c r="CD16" s="36">
        <v>-255807</v>
      </c>
      <c r="CE16" s="36">
        <v>-242241</v>
      </c>
      <c r="CF16" s="36">
        <v>-230343</v>
      </c>
      <c r="CG16" s="39">
        <f t="shared" ref="CG16" si="13">SUM(CC16:CF16)</f>
        <v>-982591</v>
      </c>
      <c r="CH16" s="39">
        <v>-982591</v>
      </c>
      <c r="CI16" s="36">
        <v>-245142</v>
      </c>
      <c r="CJ16" s="36">
        <v>-251622</v>
      </c>
      <c r="CK16" s="36">
        <v>-258552</v>
      </c>
      <c r="CL16" s="36">
        <v>-300905</v>
      </c>
      <c r="CM16" s="39">
        <f t="shared" ref="CM16" si="14">SUM(CI16:CL16)</f>
        <v>-1056221</v>
      </c>
    </row>
    <row r="17" spans="2:91" ht="12" x14ac:dyDescent="0.3">
      <c r="B17" s="23" t="s">
        <v>68</v>
      </c>
      <c r="C17" s="63">
        <v>0</v>
      </c>
      <c r="D17" s="38">
        <v>-16733.227999999999</v>
      </c>
      <c r="E17" s="38">
        <v>-10761.029</v>
      </c>
      <c r="F17" s="38">
        <v>-39709.446000000004</v>
      </c>
      <c r="G17" s="38">
        <v>-77725.062999999995</v>
      </c>
      <c r="H17" s="38">
        <v>-77725.062999999995</v>
      </c>
      <c r="I17" s="38">
        <v>-11649</v>
      </c>
      <c r="J17" s="38">
        <v>-35267</v>
      </c>
      <c r="K17" s="38">
        <v>-28139</v>
      </c>
      <c r="L17" s="38">
        <v>-29336</v>
      </c>
      <c r="M17" s="38">
        <v>-104391</v>
      </c>
      <c r="N17" s="38">
        <v>-181641</v>
      </c>
      <c r="O17" s="38">
        <v>-38461</v>
      </c>
      <c r="P17" s="38">
        <v>-62094</v>
      </c>
      <c r="Q17" s="38">
        <v>-90785</v>
      </c>
      <c r="R17" s="38">
        <v>-120768</v>
      </c>
      <c r="S17" s="38">
        <v>-312108</v>
      </c>
      <c r="T17" s="38">
        <v>-240042</v>
      </c>
      <c r="U17" s="38">
        <v>-67515</v>
      </c>
      <c r="V17" s="38">
        <v>-57149</v>
      </c>
      <c r="W17" s="38">
        <v>-261729</v>
      </c>
      <c r="X17" s="38">
        <v>-144230</v>
      </c>
      <c r="Y17" s="38">
        <v>-530623</v>
      </c>
      <c r="Z17" s="38">
        <v>-807394</v>
      </c>
      <c r="AA17" s="38">
        <v>-164079</v>
      </c>
      <c r="AB17" s="39">
        <v>-149942</v>
      </c>
      <c r="AC17" s="39">
        <v>-174399</v>
      </c>
      <c r="AD17" s="39">
        <v>-179817</v>
      </c>
      <c r="AE17" s="39">
        <v>-668237</v>
      </c>
      <c r="AF17" s="39">
        <v>-1065230</v>
      </c>
      <c r="AG17" s="38">
        <v>-194889</v>
      </c>
      <c r="AH17" s="38">
        <v>-193848</v>
      </c>
      <c r="AI17" s="39">
        <v>-216407</v>
      </c>
      <c r="AJ17" s="39">
        <v>-219823</v>
      </c>
      <c r="AK17" s="39">
        <v>-824967</v>
      </c>
      <c r="AL17" s="39">
        <v>-1293772</v>
      </c>
      <c r="AM17" s="38">
        <v>-235242</v>
      </c>
      <c r="AN17" s="38">
        <v>-234040</v>
      </c>
      <c r="AO17" s="39">
        <v>-234448</v>
      </c>
      <c r="AP17" s="39">
        <v>-226284</v>
      </c>
      <c r="AQ17" s="39">
        <v>-930014</v>
      </c>
      <c r="AR17" s="39">
        <v>-1460556</v>
      </c>
      <c r="AS17" s="39">
        <v>-268017</v>
      </c>
      <c r="AT17" s="36">
        <v>-270437</v>
      </c>
      <c r="AU17" s="36">
        <v>-305189</v>
      </c>
      <c r="AV17" s="36">
        <v>-286557</v>
      </c>
      <c r="AW17" s="39">
        <v>-1130200</v>
      </c>
      <c r="AX17" s="36">
        <v>-1749849</v>
      </c>
      <c r="AY17" s="36">
        <v>-289912</v>
      </c>
      <c r="AZ17" s="36">
        <v>-291060</v>
      </c>
      <c r="BA17" s="36">
        <v>-298890</v>
      </c>
      <c r="BB17" s="36">
        <v>-495620</v>
      </c>
      <c r="BC17" s="39">
        <v>-1939700</v>
      </c>
      <c r="BD17" s="36">
        <v>-1939700</v>
      </c>
      <c r="BE17" s="36">
        <v>-419813</v>
      </c>
      <c r="BF17" s="36">
        <v>-420315</v>
      </c>
      <c r="BG17" s="36">
        <v>-476340</v>
      </c>
      <c r="BH17" s="36">
        <f>'[3]ER dic 20'!$I$18</f>
        <v>-534668</v>
      </c>
      <c r="BI17" s="39">
        <f t="shared" si="8"/>
        <v>-1851136</v>
      </c>
      <c r="BJ17" s="36">
        <v>-1851136</v>
      </c>
      <c r="BK17" s="36">
        <v>-502459</v>
      </c>
      <c r="BL17" s="36">
        <v>-403109</v>
      </c>
      <c r="BM17" s="36">
        <f>'[4]IS (MXN)'!$BH$15</f>
        <v>-466975</v>
      </c>
      <c r="BN17" s="36">
        <v>-687587</v>
      </c>
      <c r="BO17" s="39">
        <f t="shared" si="9"/>
        <v>-2060130</v>
      </c>
      <c r="BP17" s="36">
        <v>-2060130</v>
      </c>
      <c r="BQ17" s="36">
        <v>-592988</v>
      </c>
      <c r="BR17" s="36">
        <v>-621704</v>
      </c>
      <c r="BS17" s="36">
        <v>-660839</v>
      </c>
      <c r="BT17" s="160">
        <v>-807511</v>
      </c>
      <c r="BU17" s="39">
        <f>SUM(BQ17:BT17)</f>
        <v>-2683042</v>
      </c>
      <c r="BV17" s="36">
        <v>-2683042</v>
      </c>
      <c r="BW17" s="36">
        <v>-714893</v>
      </c>
      <c r="BX17" s="36">
        <v>-744408</v>
      </c>
      <c r="BY17" s="36">
        <v>-758793</v>
      </c>
      <c r="BZ17" s="160">
        <v>-891632</v>
      </c>
      <c r="CA17" s="39">
        <f>SUM(BW17:BZ17)</f>
        <v>-3109726</v>
      </c>
      <c r="CB17" s="39">
        <f t="shared" si="12"/>
        <v>-3109726</v>
      </c>
      <c r="CC17" s="36">
        <v>-840735</v>
      </c>
      <c r="CD17" s="36">
        <v>-824131</v>
      </c>
      <c r="CE17" s="36">
        <v>-851598</v>
      </c>
      <c r="CF17" s="36">
        <v>-978826</v>
      </c>
      <c r="CG17" s="39">
        <f>SUM(CC17:CF17)</f>
        <v>-3495290</v>
      </c>
      <c r="CH17" s="39">
        <v>-3495290</v>
      </c>
      <c r="CI17" s="36">
        <v>-975239</v>
      </c>
      <c r="CJ17" s="36">
        <v>-959977</v>
      </c>
      <c r="CK17" s="36">
        <v>-995953</v>
      </c>
      <c r="CL17" s="36">
        <v>-1093080</v>
      </c>
      <c r="CM17" s="39">
        <f>SUM(CI17:CL17)</f>
        <v>-4024249</v>
      </c>
    </row>
    <row r="18" spans="2:91" ht="12" x14ac:dyDescent="0.3">
      <c r="B18" s="23" t="s">
        <v>287</v>
      </c>
      <c r="C18" s="63">
        <v>0</v>
      </c>
      <c r="D18" s="38">
        <v>0</v>
      </c>
      <c r="E18" s="38">
        <v>0</v>
      </c>
      <c r="F18" s="38">
        <v>0</v>
      </c>
      <c r="G18" s="38">
        <v>-42598</v>
      </c>
      <c r="H18" s="38">
        <v>-42598</v>
      </c>
      <c r="I18" s="38">
        <v>-21373</v>
      </c>
      <c r="J18" s="38">
        <v>-31002</v>
      </c>
      <c r="K18" s="38">
        <v>-47485</v>
      </c>
      <c r="L18" s="38">
        <v>-81781</v>
      </c>
      <c r="M18" s="38">
        <v>-181641</v>
      </c>
      <c r="N18" s="38">
        <v>-104391</v>
      </c>
      <c r="O18" s="38">
        <v>-78613</v>
      </c>
      <c r="P18" s="38">
        <v>-59031</v>
      </c>
      <c r="Q18" s="38">
        <v>-62359</v>
      </c>
      <c r="R18" s="38">
        <v>-40039</v>
      </c>
      <c r="S18" s="38">
        <v>-240042</v>
      </c>
      <c r="T18" s="38">
        <v>-312108</v>
      </c>
      <c r="U18" s="38">
        <v>-248878</v>
      </c>
      <c r="V18" s="38">
        <v>-145062</v>
      </c>
      <c r="W18" s="38">
        <v>-201042</v>
      </c>
      <c r="X18" s="38">
        <v>-212412</v>
      </c>
      <c r="Y18" s="38">
        <v>-807394</v>
      </c>
      <c r="Z18" s="38">
        <v>-530623</v>
      </c>
      <c r="AA18" s="38">
        <v>-202502</v>
      </c>
      <c r="AB18" s="39">
        <v>-252059</v>
      </c>
      <c r="AC18" s="39">
        <v>-299927</v>
      </c>
      <c r="AD18" s="39">
        <v>-310742</v>
      </c>
      <c r="AE18" s="39">
        <v>-1065230</v>
      </c>
      <c r="AF18" s="39">
        <v>-668237</v>
      </c>
      <c r="AG18" s="38">
        <v>-319885</v>
      </c>
      <c r="AH18" s="38">
        <v>-321576</v>
      </c>
      <c r="AI18" s="39">
        <v>-314190</v>
      </c>
      <c r="AJ18" s="39">
        <v>-338121</v>
      </c>
      <c r="AK18" s="39">
        <v>-1293772</v>
      </c>
      <c r="AL18" s="39">
        <v>-824967</v>
      </c>
      <c r="AM18" s="38">
        <v>-328829</v>
      </c>
      <c r="AN18" s="38">
        <v>-347709</v>
      </c>
      <c r="AO18" s="39">
        <v>-347342</v>
      </c>
      <c r="AP18" s="39">
        <v>-436676</v>
      </c>
      <c r="AQ18" s="39">
        <v>-1460556</v>
      </c>
      <c r="AR18" s="39">
        <v>-930014</v>
      </c>
      <c r="AS18" s="39">
        <v>-441914</v>
      </c>
      <c r="AT18" s="36">
        <v>-442191</v>
      </c>
      <c r="AU18" s="36">
        <v>-414499</v>
      </c>
      <c r="AV18" s="36">
        <v>-451245</v>
      </c>
      <c r="AW18" s="39">
        <v>-1749849</v>
      </c>
      <c r="AX18" s="36">
        <v>-1130200</v>
      </c>
      <c r="AY18" s="36">
        <v>-452815</v>
      </c>
      <c r="AZ18" s="36">
        <v>-517450</v>
      </c>
      <c r="BA18" s="36">
        <v>-473815</v>
      </c>
      <c r="BB18" s="36">
        <v>-354339</v>
      </c>
      <c r="BC18" s="39">
        <v>-1234201</v>
      </c>
      <c r="BD18" s="36">
        <v>-1228201</v>
      </c>
      <c r="BE18" s="36">
        <v>-387286</v>
      </c>
      <c r="BF18" s="36">
        <v>-426131</v>
      </c>
      <c r="BG18" s="36">
        <v>-435470</v>
      </c>
      <c r="BH18" s="36">
        <f>'[3]ER dic 20'!$I$17</f>
        <v>-334908</v>
      </c>
      <c r="BI18" s="39">
        <f t="shared" si="8"/>
        <v>-1583795</v>
      </c>
      <c r="BJ18" s="36">
        <v>-1583795</v>
      </c>
      <c r="BK18" s="36">
        <v>-420357</v>
      </c>
      <c r="BL18" s="36">
        <v>-402735</v>
      </c>
      <c r="BM18" s="36">
        <f>'[4]IS (MXN)'!$BH$14</f>
        <v>-333816</v>
      </c>
      <c r="BN18" s="36">
        <v>-286707</v>
      </c>
      <c r="BO18" s="39">
        <f t="shared" si="9"/>
        <v>-1443615</v>
      </c>
      <c r="BP18" s="36">
        <v>-1443615</v>
      </c>
      <c r="BQ18" s="36">
        <v>-376938</v>
      </c>
      <c r="BR18" s="36">
        <v>-368140</v>
      </c>
      <c r="BS18" s="36">
        <v>-298859</v>
      </c>
      <c r="BT18" s="160">
        <v>-277782</v>
      </c>
      <c r="BU18" s="39">
        <f>SUM(BQ18:BT18)</f>
        <v>-1321719</v>
      </c>
      <c r="BV18" s="36">
        <v>-1321719</v>
      </c>
      <c r="BW18" s="36">
        <v>-372066</v>
      </c>
      <c r="BX18" s="36">
        <v>-386250</v>
      </c>
      <c r="BY18" s="36">
        <v>-369314</v>
      </c>
      <c r="BZ18" s="160">
        <v>-491979</v>
      </c>
      <c r="CA18" s="39">
        <f>SUM(BW18:BZ18)</f>
        <v>-1619609</v>
      </c>
      <c r="CB18" s="39">
        <f t="shared" si="12"/>
        <v>-1619609</v>
      </c>
      <c r="CC18" s="36">
        <v>-493973</v>
      </c>
      <c r="CD18" s="36">
        <v>-560715</v>
      </c>
      <c r="CE18" s="36">
        <v>-588731</v>
      </c>
      <c r="CF18" s="36">
        <v>-654514</v>
      </c>
      <c r="CG18" s="39">
        <f>SUM(CC18:CF18)</f>
        <v>-2297933</v>
      </c>
      <c r="CH18" s="39">
        <v>-2297933</v>
      </c>
      <c r="CI18" s="36">
        <v>-665216</v>
      </c>
      <c r="CJ18" s="36">
        <v>-633861</v>
      </c>
      <c r="CK18" s="36">
        <v>-611758</v>
      </c>
      <c r="CL18" s="36">
        <v>-348389</v>
      </c>
      <c r="CM18" s="39">
        <f>SUM(CI18:CL18)</f>
        <v>-2259224</v>
      </c>
    </row>
    <row r="19" spans="2:91" ht="12" x14ac:dyDescent="0.3">
      <c r="B19" s="23" t="s">
        <v>69</v>
      </c>
      <c r="C19" s="63">
        <v>0</v>
      </c>
      <c r="D19" s="38">
        <v>0</v>
      </c>
      <c r="E19" s="38">
        <v>0</v>
      </c>
      <c r="F19" s="38">
        <v>0</v>
      </c>
      <c r="G19" s="38">
        <v>0</v>
      </c>
      <c r="H19" s="38">
        <v>0</v>
      </c>
      <c r="I19" s="38">
        <v>0</v>
      </c>
      <c r="J19" s="38">
        <v>0</v>
      </c>
      <c r="K19" s="38">
        <v>0</v>
      </c>
      <c r="L19" s="38">
        <v>-1468</v>
      </c>
      <c r="M19" s="38">
        <v>-1468</v>
      </c>
      <c r="N19" s="38">
        <v>-1468</v>
      </c>
      <c r="O19" s="38">
        <v>-8256</v>
      </c>
      <c r="P19" s="38">
        <v>0</v>
      </c>
      <c r="Q19" s="38">
        <v>0</v>
      </c>
      <c r="R19" s="38">
        <v>-49052</v>
      </c>
      <c r="S19" s="38">
        <v>-57308</v>
      </c>
      <c r="T19" s="38">
        <v>-57308</v>
      </c>
      <c r="U19" s="38">
        <v>-13170</v>
      </c>
      <c r="V19" s="38">
        <v>-43448</v>
      </c>
      <c r="W19" s="38">
        <v>-63469</v>
      </c>
      <c r="X19" s="38">
        <v>-35017</v>
      </c>
      <c r="Y19" s="38">
        <v>-155104</v>
      </c>
      <c r="Z19" s="38">
        <v>-155104</v>
      </c>
      <c r="AA19" s="38">
        <v>-54422</v>
      </c>
      <c r="AB19" s="39">
        <v>-61496</v>
      </c>
      <c r="AC19" s="39">
        <v>-65375</v>
      </c>
      <c r="AD19" s="39">
        <v>-77508</v>
      </c>
      <c r="AE19" s="39">
        <v>-258801</v>
      </c>
      <c r="AF19" s="39">
        <v>-258801</v>
      </c>
      <c r="AG19" s="38">
        <v>-76516</v>
      </c>
      <c r="AH19" s="38">
        <v>-76626</v>
      </c>
      <c r="AI19" s="39">
        <v>-87517</v>
      </c>
      <c r="AJ19" s="39">
        <v>-82415</v>
      </c>
      <c r="AK19" s="39">
        <v>-323074</v>
      </c>
      <c r="AL19" s="39">
        <v>-323074</v>
      </c>
      <c r="AM19" s="38">
        <v>-85140</v>
      </c>
      <c r="AN19" s="38">
        <v>-83278</v>
      </c>
      <c r="AO19" s="39">
        <v>-81561</v>
      </c>
      <c r="AP19" s="39">
        <v>-86890</v>
      </c>
      <c r="AQ19" s="39">
        <v>-336869</v>
      </c>
      <c r="AR19" s="39">
        <v>-336869</v>
      </c>
      <c r="AS19" s="39">
        <v>-100741</v>
      </c>
      <c r="AT19" s="36">
        <v>-113806</v>
      </c>
      <c r="AU19" s="36">
        <v>-123600</v>
      </c>
      <c r="AV19" s="36">
        <v>-128541</v>
      </c>
      <c r="AW19" s="39">
        <v>-466688</v>
      </c>
      <c r="AX19" s="39">
        <v>-466688</v>
      </c>
      <c r="AY19" s="39">
        <v>-121948</v>
      </c>
      <c r="AZ19" s="36">
        <v>-116263</v>
      </c>
      <c r="BA19" s="36">
        <v>-143040</v>
      </c>
      <c r="BB19" s="36">
        <v>-152555</v>
      </c>
      <c r="BC19" s="39">
        <v>-533806</v>
      </c>
      <c r="BD19" s="39">
        <v>-533806</v>
      </c>
      <c r="BE19" s="39">
        <v>-133619</v>
      </c>
      <c r="BF19" s="36">
        <v>-138380</v>
      </c>
      <c r="BG19" s="36">
        <v>-141984</v>
      </c>
      <c r="BH19" s="36">
        <f>'[3]ER dic 20'!$I$19</f>
        <v>-137178</v>
      </c>
      <c r="BI19" s="39">
        <f t="shared" si="8"/>
        <v>-551161</v>
      </c>
      <c r="BJ19" s="39">
        <v>-551161</v>
      </c>
      <c r="BK19" s="39">
        <v>-148623</v>
      </c>
      <c r="BL19" s="39">
        <v>-150394</v>
      </c>
      <c r="BM19" s="39">
        <f>'[4]IS (MXN)'!$BH$18</f>
        <v>-150373</v>
      </c>
      <c r="BN19" s="39">
        <v>-150425</v>
      </c>
      <c r="BO19" s="39">
        <f t="shared" si="9"/>
        <v>-599815</v>
      </c>
      <c r="BP19" s="39">
        <v>-599815</v>
      </c>
      <c r="BQ19" s="39">
        <v>-174471</v>
      </c>
      <c r="BR19" s="39">
        <v>-175778</v>
      </c>
      <c r="BS19" s="39">
        <v>-176854</v>
      </c>
      <c r="BT19" s="179">
        <v>-177353</v>
      </c>
      <c r="BU19" s="39">
        <f t="shared" si="10"/>
        <v>-704456</v>
      </c>
      <c r="BV19" s="39">
        <v>-704456</v>
      </c>
      <c r="BW19" s="39">
        <v>-194025</v>
      </c>
      <c r="BX19" s="39">
        <v>-196200</v>
      </c>
      <c r="BY19" s="39">
        <v>-191628</v>
      </c>
      <c r="BZ19" s="179">
        <v>-188715</v>
      </c>
      <c r="CA19" s="39">
        <f t="shared" ref="CA19:CA20" si="15">SUM(BW19:BZ19)</f>
        <v>-770568</v>
      </c>
      <c r="CB19" s="39">
        <f t="shared" si="12"/>
        <v>-770568</v>
      </c>
      <c r="CC19" s="39">
        <v>-193147</v>
      </c>
      <c r="CD19" s="39">
        <v>-198075</v>
      </c>
      <c r="CE19" s="39">
        <v>-198366</v>
      </c>
      <c r="CF19" s="36">
        <v>-208776</v>
      </c>
      <c r="CG19" s="39">
        <f t="shared" ref="CG19:CG20" si="16">SUM(CC19:CF19)</f>
        <v>-798364</v>
      </c>
      <c r="CH19" s="39">
        <v>-798364</v>
      </c>
      <c r="CI19" s="39">
        <v>-205343</v>
      </c>
      <c r="CJ19" s="39">
        <v>-209100</v>
      </c>
      <c r="CK19" s="39">
        <v>-204499</v>
      </c>
      <c r="CL19" s="36">
        <v>-210591</v>
      </c>
      <c r="CM19" s="39">
        <f t="shared" ref="CM19:CM20" si="17">SUM(CI19:CL19)</f>
        <v>-829533</v>
      </c>
    </row>
    <row r="20" spans="2:91" ht="12" x14ac:dyDescent="0.3">
      <c r="B20" s="23" t="s">
        <v>70</v>
      </c>
      <c r="C20" s="63">
        <v>0</v>
      </c>
      <c r="D20" s="38">
        <v>0</v>
      </c>
      <c r="E20" s="38">
        <v>0</v>
      </c>
      <c r="F20" s="38">
        <v>0</v>
      </c>
      <c r="G20" s="38">
        <v>-4271.6390000000001</v>
      </c>
      <c r="H20" s="38">
        <v>-4271.6390000000001</v>
      </c>
      <c r="I20" s="38">
        <v>-2328</v>
      </c>
      <c r="J20" s="38">
        <v>-2267</v>
      </c>
      <c r="K20" s="38">
        <v>-8779</v>
      </c>
      <c r="L20" s="38">
        <v>-7210</v>
      </c>
      <c r="M20" s="38">
        <v>-20584</v>
      </c>
      <c r="N20" s="38">
        <v>-20584</v>
      </c>
      <c r="O20" s="38">
        <v>-7841</v>
      </c>
      <c r="P20" s="38">
        <v>-7623</v>
      </c>
      <c r="Q20" s="38">
        <v>-4313</v>
      </c>
      <c r="R20" s="38">
        <v>-6985</v>
      </c>
      <c r="S20" s="38">
        <v>-26762</v>
      </c>
      <c r="T20" s="38">
        <v>-26762</v>
      </c>
      <c r="U20" s="38">
        <v>-5568</v>
      </c>
      <c r="V20" s="38">
        <v>-19025</v>
      </c>
      <c r="W20" s="38">
        <v>-39741</v>
      </c>
      <c r="X20" s="38">
        <v>-19845</v>
      </c>
      <c r="Y20" s="38">
        <v>-84179</v>
      </c>
      <c r="Z20" s="38">
        <v>-84179</v>
      </c>
      <c r="AA20" s="38">
        <v>-17425</v>
      </c>
      <c r="AB20" s="39">
        <v>-17738</v>
      </c>
      <c r="AC20" s="39">
        <v>-20247</v>
      </c>
      <c r="AD20" s="39">
        <v>-31602</v>
      </c>
      <c r="AE20" s="39">
        <v>-87012</v>
      </c>
      <c r="AF20" s="39">
        <v>-87012</v>
      </c>
      <c r="AG20" s="38">
        <v>-31141</v>
      </c>
      <c r="AH20" s="38">
        <v>-32080</v>
      </c>
      <c r="AI20" s="39">
        <v>-32307</v>
      </c>
      <c r="AJ20" s="39">
        <v>-48390</v>
      </c>
      <c r="AK20" s="39">
        <v>-143918</v>
      </c>
      <c r="AL20" s="39">
        <v>-143918</v>
      </c>
      <c r="AM20" s="38">
        <v>-37547</v>
      </c>
      <c r="AN20" s="38">
        <v>-38358</v>
      </c>
      <c r="AO20" s="39">
        <v>-38230</v>
      </c>
      <c r="AP20" s="39">
        <v>-38229</v>
      </c>
      <c r="AQ20" s="39">
        <v>-152364</v>
      </c>
      <c r="AR20" s="39">
        <v>-152364</v>
      </c>
      <c r="AS20" s="39">
        <v>-39294</v>
      </c>
      <c r="AT20" s="36">
        <v>-39276</v>
      </c>
      <c r="AU20" s="36">
        <v>-62519</v>
      </c>
      <c r="AV20" s="36">
        <v>-70861</v>
      </c>
      <c r="AW20" s="39">
        <v>-211950</v>
      </c>
      <c r="AX20" s="36">
        <v>-211950</v>
      </c>
      <c r="AY20" s="36">
        <v>-70861</v>
      </c>
      <c r="AZ20" s="36">
        <v>-64821</v>
      </c>
      <c r="BA20" s="36">
        <v>-65478</v>
      </c>
      <c r="BB20" s="36">
        <v>-66611</v>
      </c>
      <c r="BC20" s="39">
        <v>-267771</v>
      </c>
      <c r="BD20" s="36">
        <v>-267771</v>
      </c>
      <c r="BE20" s="36">
        <v>-68434</v>
      </c>
      <c r="BF20" s="36">
        <v>-68434</v>
      </c>
      <c r="BG20" s="36">
        <v>-72171</v>
      </c>
      <c r="BH20" s="36">
        <f>'[3]ER dic 20'!$I$20</f>
        <v>-72170</v>
      </c>
      <c r="BI20" s="39">
        <f t="shared" si="8"/>
        <v>-281209</v>
      </c>
      <c r="BJ20" s="36">
        <v>-281209</v>
      </c>
      <c r="BK20" s="36">
        <v>-77960</v>
      </c>
      <c r="BL20" s="36">
        <v>-88254</v>
      </c>
      <c r="BM20" s="36">
        <f>'[4]IS (MXN)'!$BH$19</f>
        <v>-88284</v>
      </c>
      <c r="BN20" s="36">
        <v>-88980</v>
      </c>
      <c r="BO20" s="39">
        <f t="shared" si="9"/>
        <v>-343478</v>
      </c>
      <c r="BP20" s="36">
        <v>-343478</v>
      </c>
      <c r="BQ20" s="36">
        <v>-88980</v>
      </c>
      <c r="BR20" s="36">
        <v>-88980</v>
      </c>
      <c r="BS20" s="36">
        <v>-96849</v>
      </c>
      <c r="BT20" s="160">
        <v>-96864</v>
      </c>
      <c r="BU20" s="39">
        <f t="shared" si="10"/>
        <v>-371673</v>
      </c>
      <c r="BV20" s="36">
        <v>-371673</v>
      </c>
      <c r="BW20" s="36">
        <v>-96465</v>
      </c>
      <c r="BX20" s="36">
        <v>-98151</v>
      </c>
      <c r="BY20" s="36">
        <v>-98154</v>
      </c>
      <c r="BZ20" s="160">
        <v>-99462</v>
      </c>
      <c r="CA20" s="39">
        <f t="shared" si="15"/>
        <v>-392232</v>
      </c>
      <c r="CB20" s="39">
        <f t="shared" si="12"/>
        <v>-392232</v>
      </c>
      <c r="CC20" s="36">
        <v>-109242</v>
      </c>
      <c r="CD20" s="36">
        <v>-109242</v>
      </c>
      <c r="CE20" s="36">
        <v>-109242</v>
      </c>
      <c r="CF20" s="36">
        <v>-109266</v>
      </c>
      <c r="CG20" s="39">
        <f t="shared" si="16"/>
        <v>-436992</v>
      </c>
      <c r="CH20" s="39">
        <v>-436992</v>
      </c>
      <c r="CI20" s="36">
        <v>-109219</v>
      </c>
      <c r="CJ20" s="36">
        <v>-123782</v>
      </c>
      <c r="CK20" s="36">
        <v>-131674</v>
      </c>
      <c r="CL20" s="36">
        <v>-141716</v>
      </c>
      <c r="CM20" s="39">
        <f t="shared" si="17"/>
        <v>-506391</v>
      </c>
    </row>
    <row r="21" spans="2:91" s="51" customFormat="1" ht="12" x14ac:dyDescent="0.3">
      <c r="C21" s="64">
        <v>-1249.3710000000001</v>
      </c>
      <c r="D21" s="37">
        <v>-37243.24</v>
      </c>
      <c r="E21" s="37">
        <v>-30665.707999999999</v>
      </c>
      <c r="F21" s="37">
        <v>-88629.896000000008</v>
      </c>
      <c r="G21" s="37">
        <v>-156764.75899999999</v>
      </c>
      <c r="H21" s="69">
        <f>SUM(H16:H20)</f>
        <v>-156764.75899999999</v>
      </c>
      <c r="I21" s="37">
        <v>-50121</v>
      </c>
      <c r="J21" s="37">
        <v>-92381</v>
      </c>
      <c r="K21" s="37">
        <v>-128268</v>
      </c>
      <c r="L21" s="37">
        <v>-216044</v>
      </c>
      <c r="M21" s="37">
        <v>-486814</v>
      </c>
      <c r="N21" s="69">
        <f>SUM(N16:N20)</f>
        <v>-486814</v>
      </c>
      <c r="O21" s="37">
        <v>-171098</v>
      </c>
      <c r="P21" s="37">
        <v>-227786</v>
      </c>
      <c r="Q21" s="37">
        <v>-256087</v>
      </c>
      <c r="R21" s="37">
        <v>-309436</v>
      </c>
      <c r="S21" s="37">
        <v>-964407</v>
      </c>
      <c r="T21" s="69">
        <f>SUM(T16:T20)</f>
        <v>-964407</v>
      </c>
      <c r="U21" s="37">
        <v>-428638</v>
      </c>
      <c r="V21" s="37">
        <v>-368156</v>
      </c>
      <c r="W21" s="37">
        <v>-720537</v>
      </c>
      <c r="X21" s="37">
        <v>-550801</v>
      </c>
      <c r="Y21" s="37">
        <v>-2068132</v>
      </c>
      <c r="Z21" s="69">
        <f>SUM(Z16:Z20)</f>
        <v>-2068132</v>
      </c>
      <c r="AA21" s="37">
        <v>-589373</v>
      </c>
      <c r="AB21" s="37">
        <v>-633475</v>
      </c>
      <c r="AC21" s="37">
        <v>-712596</v>
      </c>
      <c r="AD21" s="37">
        <v>-756764</v>
      </c>
      <c r="AE21" s="69">
        <v>-2692208</v>
      </c>
      <c r="AF21" s="69">
        <f>SUM(AF16:AF20)</f>
        <v>-2692208</v>
      </c>
      <c r="AG21" s="37">
        <v>-788442</v>
      </c>
      <c r="AH21" s="37">
        <v>-793686</v>
      </c>
      <c r="AI21" s="37">
        <v>-821166</v>
      </c>
      <c r="AJ21" s="37">
        <v>-861123</v>
      </c>
      <c r="AK21" s="69">
        <v>-3264417</v>
      </c>
      <c r="AL21" s="69">
        <f>SUM(AL16:AL20)</f>
        <v>-3264417</v>
      </c>
      <c r="AM21" s="37">
        <v>-865486</v>
      </c>
      <c r="AN21" s="37">
        <v>-886670</v>
      </c>
      <c r="AO21" s="37">
        <v>-888515</v>
      </c>
      <c r="AP21" s="37">
        <v>-992626</v>
      </c>
      <c r="AQ21" s="69">
        <v>-3633297</v>
      </c>
      <c r="AR21" s="69">
        <f>SUM(AR16:AR20)</f>
        <v>-3633297</v>
      </c>
      <c r="AS21" s="37">
        <v>-1051674</v>
      </c>
      <c r="AT21" s="37">
        <v>-1072737</v>
      </c>
      <c r="AU21" s="37">
        <v>-1118139</v>
      </c>
      <c r="AV21" s="37">
        <v>-1152635</v>
      </c>
      <c r="AW21" s="69">
        <v>-4395185</v>
      </c>
      <c r="AX21" s="69">
        <f>SUM(AX16:AX20)</f>
        <v>-4395185</v>
      </c>
      <c r="AY21" s="37">
        <v>-1158459</v>
      </c>
      <c r="AZ21" s="37">
        <v>-1209850</v>
      </c>
      <c r="BA21" s="37">
        <v>-1211223</v>
      </c>
      <c r="BB21" s="37">
        <v>-1294454</v>
      </c>
      <c r="BC21" s="69">
        <v>-4873986</v>
      </c>
      <c r="BD21" s="69">
        <f>SUM(BD16:BD20)</f>
        <v>-4867986</v>
      </c>
      <c r="BE21" s="37">
        <v>-1223744</v>
      </c>
      <c r="BF21" s="37">
        <v>-1242633</v>
      </c>
      <c r="BG21" s="37">
        <f>SUM(BG16:BG20)</f>
        <v>-1333520</v>
      </c>
      <c r="BH21" s="37">
        <f>SUM(BH16:BH20)</f>
        <v>-1328191</v>
      </c>
      <c r="BI21" s="69">
        <f>SUM(BE21:BH21)</f>
        <v>-5128088</v>
      </c>
      <c r="BJ21" s="69">
        <f>SUM(BJ16:BJ20)</f>
        <v>-5128088</v>
      </c>
      <c r="BK21" s="37">
        <f>SUM(BK16:BK20)</f>
        <v>-1370180</v>
      </c>
      <c r="BL21" s="37">
        <f>SUM(BL16:BL20)</f>
        <v>-1269795</v>
      </c>
      <c r="BM21" s="37">
        <f>SUM(BM16:BM20)</f>
        <v>-1261947</v>
      </c>
      <c r="BN21" s="37">
        <f>SUM(BN16:BN20)</f>
        <v>-1427224</v>
      </c>
      <c r="BO21" s="69">
        <f>SUM(BK21:BN21)</f>
        <v>-5329146</v>
      </c>
      <c r="BP21" s="69">
        <f t="shared" ref="BP21:BR21" si="18">SUM(BP16:BP20)</f>
        <v>-5329146</v>
      </c>
      <c r="BQ21" s="37">
        <f t="shared" si="18"/>
        <v>-1455339</v>
      </c>
      <c r="BR21" s="37">
        <f t="shared" si="18"/>
        <v>-1479645</v>
      </c>
      <c r="BS21" s="37">
        <f>SUM(BS16:BS20)</f>
        <v>-1454231</v>
      </c>
      <c r="BT21" s="37">
        <f>SUM(BT16:BT20)</f>
        <v>-1611899</v>
      </c>
      <c r="BU21" s="69">
        <f>SUM(BQ21:BT21)</f>
        <v>-6001114</v>
      </c>
      <c r="BV21" s="69">
        <f t="shared" ref="BV21:BX21" si="19">SUM(BV16:BV20)</f>
        <v>-6001114</v>
      </c>
      <c r="BW21" s="37">
        <f t="shared" si="19"/>
        <v>-1619205</v>
      </c>
      <c r="BX21" s="37">
        <f t="shared" si="19"/>
        <v>-1688742</v>
      </c>
      <c r="BY21" s="37">
        <f>SUM(BY16:BY20)</f>
        <v>-1678126</v>
      </c>
      <c r="BZ21" s="37">
        <f>SUM(BZ16:BZ20)</f>
        <v>-1919996</v>
      </c>
      <c r="CA21" s="69">
        <f>SUM(BW21:BZ21)</f>
        <v>-6906069</v>
      </c>
      <c r="CB21" s="69">
        <f t="shared" si="12"/>
        <v>-6906069</v>
      </c>
      <c r="CC21" s="37">
        <f t="shared" ref="CC21:CD21" si="20">SUM(CC16:CC20)</f>
        <v>-1891297</v>
      </c>
      <c r="CD21" s="37">
        <f t="shared" si="20"/>
        <v>-1947970</v>
      </c>
      <c r="CE21" s="37">
        <f>SUM(CE16:CE20)</f>
        <v>-1990178</v>
      </c>
      <c r="CF21" s="37">
        <f>SUM(CF16:CF20)</f>
        <v>-2181725</v>
      </c>
      <c r="CG21" s="37">
        <f t="shared" ref="CG21:CJ21" si="21">SUM(CG16:CG20)</f>
        <v>-8011170</v>
      </c>
      <c r="CH21" s="37">
        <f t="shared" si="21"/>
        <v>-8011170</v>
      </c>
      <c r="CI21" s="37">
        <f t="shared" si="21"/>
        <v>-2200159</v>
      </c>
      <c r="CJ21" s="37">
        <f t="shared" si="21"/>
        <v>-2178342</v>
      </c>
      <c r="CK21" s="37">
        <f>SUM(CK16:CK20)</f>
        <v>-2202436</v>
      </c>
      <c r="CL21" s="37">
        <f>SUM(CL16:CL20)</f>
        <v>-2094681</v>
      </c>
      <c r="CM21" s="37">
        <f t="shared" ref="CM21" si="22">SUM(CM16:CM20)</f>
        <v>-8675618</v>
      </c>
    </row>
    <row r="22" spans="2:91" ht="3" customHeight="1" x14ac:dyDescent="0.3">
      <c r="C22" s="65"/>
      <c r="D22" s="66"/>
      <c r="E22" s="66"/>
      <c r="F22" s="66"/>
      <c r="G22" s="66"/>
      <c r="H22" s="66"/>
      <c r="I22" s="66"/>
      <c r="J22" s="66"/>
      <c r="K22" s="66"/>
      <c r="L22" s="66"/>
      <c r="M22" s="66"/>
      <c r="N22" s="66"/>
      <c r="O22" s="66"/>
      <c r="P22" s="66"/>
      <c r="Q22" s="66"/>
      <c r="R22" s="66"/>
      <c r="S22" s="66"/>
      <c r="T22" s="66"/>
      <c r="U22" s="66"/>
      <c r="V22" s="66"/>
      <c r="W22" s="66"/>
      <c r="X22" s="66"/>
      <c r="Y22" s="66"/>
      <c r="Z22" s="66"/>
      <c r="AA22" s="66"/>
      <c r="AB22" s="67"/>
      <c r="AC22" s="67"/>
      <c r="AD22" s="67"/>
      <c r="AE22" s="67"/>
      <c r="AF22" s="67"/>
      <c r="AG22" s="66"/>
      <c r="AH22" s="66"/>
      <c r="AI22" s="67"/>
      <c r="AJ22" s="67"/>
      <c r="AK22" s="67"/>
      <c r="AL22" s="67"/>
      <c r="AM22" s="66"/>
      <c r="AN22" s="66"/>
      <c r="AO22" s="67"/>
      <c r="AP22" s="67"/>
      <c r="AQ22" s="67"/>
      <c r="AR22" s="67"/>
      <c r="AS22" s="67"/>
      <c r="AT22" s="47"/>
      <c r="AU22" s="47"/>
      <c r="AV22" s="47"/>
      <c r="AW22" s="67"/>
      <c r="AX22" s="47"/>
      <c r="AY22" s="47"/>
      <c r="AZ22" s="47"/>
      <c r="BA22" s="47"/>
      <c r="BB22" s="47"/>
      <c r="BC22" s="67"/>
      <c r="BD22" s="47"/>
      <c r="BE22" s="47"/>
      <c r="BF22" s="47"/>
      <c r="BG22" s="47"/>
      <c r="BH22" s="47"/>
      <c r="BI22" s="67"/>
      <c r="BJ22" s="47"/>
      <c r="BK22" s="47"/>
      <c r="BL22" s="47"/>
      <c r="BM22" s="47"/>
      <c r="BN22" s="47"/>
      <c r="BO22" s="67"/>
      <c r="BP22" s="47"/>
      <c r="BQ22" s="47"/>
      <c r="BR22" s="47"/>
      <c r="BS22" s="47"/>
      <c r="BT22" s="47"/>
      <c r="BU22" s="67"/>
      <c r="BV22" s="47"/>
      <c r="BW22" s="47"/>
      <c r="BX22" s="47"/>
      <c r="BY22" s="47"/>
      <c r="BZ22" s="47"/>
      <c r="CA22" s="67"/>
      <c r="CB22" s="67"/>
      <c r="CC22" s="47"/>
      <c r="CD22" s="47"/>
      <c r="CE22" s="47"/>
      <c r="CF22" s="47"/>
      <c r="CG22" s="67"/>
      <c r="CH22" s="67"/>
      <c r="CI22" s="47"/>
      <c r="CJ22" s="47"/>
      <c r="CK22" s="47"/>
      <c r="CL22" s="47"/>
      <c r="CM22" s="67"/>
    </row>
    <row r="23" spans="2:91" ht="12" x14ac:dyDescent="0.3">
      <c r="B23" s="23" t="s">
        <v>71</v>
      </c>
      <c r="C23" s="63">
        <v>-0.23200000000000001</v>
      </c>
      <c r="D23" s="38">
        <v>-6.2229999999999999</v>
      </c>
      <c r="E23" s="38">
        <v>-20.402999999999999</v>
      </c>
      <c r="F23" s="38">
        <v>-2194.6320000000001</v>
      </c>
      <c r="G23" s="38">
        <v>-2088.91</v>
      </c>
      <c r="H23" s="38">
        <v>-2088.91</v>
      </c>
      <c r="I23" s="38">
        <v>-15223</v>
      </c>
      <c r="J23" s="38">
        <v>-56517</v>
      </c>
      <c r="K23" s="38">
        <v>-169</v>
      </c>
      <c r="L23" s="38">
        <v>-113769</v>
      </c>
      <c r="M23" s="38">
        <v>-185678</v>
      </c>
      <c r="N23" s="38">
        <v>-185678</v>
      </c>
      <c r="O23" s="38">
        <v>-84029</v>
      </c>
      <c r="P23" s="38">
        <v>-242529</v>
      </c>
      <c r="Q23" s="38">
        <v>-115035</v>
      </c>
      <c r="R23" s="38">
        <v>-315995</v>
      </c>
      <c r="S23" s="38">
        <v>-757588</v>
      </c>
      <c r="T23" s="38">
        <v>-757588</v>
      </c>
      <c r="U23" s="38">
        <v>-510788</v>
      </c>
      <c r="V23" s="38">
        <v>-563197</v>
      </c>
      <c r="W23" s="38">
        <v>-488230</v>
      </c>
      <c r="X23" s="38">
        <v>-456896</v>
      </c>
      <c r="Y23" s="38">
        <v>-2019111</v>
      </c>
      <c r="Z23" s="38">
        <v>-2019111</v>
      </c>
      <c r="AA23" s="38">
        <v>-595358</v>
      </c>
      <c r="AB23" s="39">
        <v>-671331</v>
      </c>
      <c r="AC23" s="39">
        <v>-685108</v>
      </c>
      <c r="AD23" s="39">
        <v>-729743</v>
      </c>
      <c r="AE23" s="39">
        <v>-2681540</v>
      </c>
      <c r="AF23" s="39">
        <v>-2681540</v>
      </c>
      <c r="AG23" s="38">
        <v>-812843</v>
      </c>
      <c r="AH23" s="38">
        <v>-880259</v>
      </c>
      <c r="AI23" s="39">
        <v>-1050463</v>
      </c>
      <c r="AJ23" s="39">
        <v>-1083271</v>
      </c>
      <c r="AK23" s="39">
        <v>-3826836</v>
      </c>
      <c r="AL23" s="39">
        <v>-3826836</v>
      </c>
      <c r="AM23" s="38">
        <v>-1121902</v>
      </c>
      <c r="AN23" s="38">
        <v>-1235062</v>
      </c>
      <c r="AO23" s="39">
        <v>-1224867</v>
      </c>
      <c r="AP23" s="39">
        <v>-1344798</v>
      </c>
      <c r="AQ23" s="39">
        <v>-4926629</v>
      </c>
      <c r="AR23" s="39">
        <v>-4926629</v>
      </c>
      <c r="AS23" s="39">
        <v>-1203665.7568699999</v>
      </c>
      <c r="AT23" s="36">
        <v>-1309553</v>
      </c>
      <c r="AU23" s="36">
        <v>-1159465</v>
      </c>
      <c r="AV23" s="36">
        <v>-1112634</v>
      </c>
      <c r="AW23" s="39">
        <v>-4785317.7568699997</v>
      </c>
      <c r="AX23" s="36">
        <v>-4785317.7568699997</v>
      </c>
      <c r="AY23" s="36">
        <v>-1336257</v>
      </c>
      <c r="AZ23" s="36">
        <v>-1433846</v>
      </c>
      <c r="BA23" s="36">
        <v>-1504264</v>
      </c>
      <c r="BB23" s="36">
        <v>-1415649</v>
      </c>
      <c r="BC23" s="39">
        <v>-5690016</v>
      </c>
      <c r="BD23" s="36">
        <v>-5690016</v>
      </c>
      <c r="BE23" s="36">
        <v>-1644458</v>
      </c>
      <c r="BF23" s="36">
        <v>-2112454</v>
      </c>
      <c r="BG23" s="36">
        <v>-2091945</v>
      </c>
      <c r="BH23" s="36">
        <f>'[3]ER dic 20'!$I$24</f>
        <v>-2034124</v>
      </c>
      <c r="BI23" s="39">
        <f t="shared" ref="BI23:BI35" si="23">SUM(BE23:BH23)</f>
        <v>-7882981</v>
      </c>
      <c r="BJ23" s="36">
        <v>-7882981</v>
      </c>
      <c r="BK23" s="36">
        <v>-1962772</v>
      </c>
      <c r="BL23" s="36">
        <v>-1802922</v>
      </c>
      <c r="BM23" s="36">
        <v>-1851980</v>
      </c>
      <c r="BN23" s="36">
        <v>-1821697</v>
      </c>
      <c r="BO23" s="39">
        <f t="shared" ref="BO23:BO35" si="24">SUM(BK23:BN23)</f>
        <v>-7439371</v>
      </c>
      <c r="BP23" s="36">
        <v>-7439371</v>
      </c>
      <c r="BQ23" s="36">
        <v>-1919946</v>
      </c>
      <c r="BR23" s="36">
        <v>-1995967</v>
      </c>
      <c r="BS23" s="36">
        <v>-2286417</v>
      </c>
      <c r="BT23" s="36">
        <v>-2372790</v>
      </c>
      <c r="BU23" s="39">
        <f t="shared" ref="BU23:BU25" si="25">SUM(BQ23:BT23)</f>
        <v>-8575120</v>
      </c>
      <c r="BV23" s="36">
        <v>-8575120</v>
      </c>
      <c r="BW23" s="36">
        <v>-2506607</v>
      </c>
      <c r="BX23" s="36">
        <v>-2513019</v>
      </c>
      <c r="BY23" s="36">
        <v>-2483855</v>
      </c>
      <c r="BZ23" s="36">
        <v>-2472196</v>
      </c>
      <c r="CA23" s="39">
        <f t="shared" ref="CA23:CA25" si="26">SUM(BW23:BZ23)</f>
        <v>-9975677</v>
      </c>
      <c r="CB23" s="39">
        <f>SUM(BW23:BZ23)</f>
        <v>-9975677</v>
      </c>
      <c r="CC23" s="36">
        <v>-2642217</v>
      </c>
      <c r="CD23" s="36">
        <v>-2621480</v>
      </c>
      <c r="CE23" s="36">
        <v>-2834306</v>
      </c>
      <c r="CF23" s="36">
        <v>-2980696</v>
      </c>
      <c r="CG23" s="39">
        <f t="shared" ref="CG23:CG35" si="27">SUM(CC23:CF23)</f>
        <v>-11078699</v>
      </c>
      <c r="CH23" s="39">
        <v>-11078699</v>
      </c>
      <c r="CI23" s="36">
        <v>-3117668</v>
      </c>
      <c r="CJ23" s="36">
        <v>-3007270</v>
      </c>
      <c r="CK23" s="36">
        <v>-2951709</v>
      </c>
      <c r="CL23" s="36">
        <v>-3099827</v>
      </c>
      <c r="CM23" s="39">
        <f t="shared" ref="CM23:CM35" si="28">SUM(CI23:CL23)</f>
        <v>-12176474</v>
      </c>
    </row>
    <row r="24" spans="2:91" ht="12" x14ac:dyDescent="0.3">
      <c r="B24" s="29" t="s">
        <v>386</v>
      </c>
      <c r="C24" s="63"/>
      <c r="D24" s="38"/>
      <c r="E24" s="38"/>
      <c r="F24" s="38"/>
      <c r="G24" s="38"/>
      <c r="H24" s="38"/>
      <c r="I24" s="38"/>
      <c r="J24" s="38"/>
      <c r="K24" s="38"/>
      <c r="L24" s="38"/>
      <c r="M24" s="38"/>
      <c r="N24" s="38"/>
      <c r="O24" s="38"/>
      <c r="P24" s="38"/>
      <c r="Q24" s="38"/>
      <c r="R24" s="38"/>
      <c r="S24" s="38"/>
      <c r="T24" s="38"/>
      <c r="U24" s="38"/>
      <c r="V24" s="38"/>
      <c r="W24" s="38"/>
      <c r="X24" s="38"/>
      <c r="Y24" s="38"/>
      <c r="Z24" s="38"/>
      <c r="AA24" s="38"/>
      <c r="AB24" s="39"/>
      <c r="AC24" s="39"/>
      <c r="AD24" s="39"/>
      <c r="AE24" s="39"/>
      <c r="AF24" s="39"/>
      <c r="AG24" s="38"/>
      <c r="AH24" s="38"/>
      <c r="AI24" s="39"/>
      <c r="AJ24" s="39"/>
      <c r="AK24" s="39"/>
      <c r="AL24" s="39"/>
      <c r="AM24" s="38"/>
      <c r="AN24" s="38"/>
      <c r="AO24" s="39"/>
      <c r="AP24" s="39"/>
      <c r="AQ24" s="39"/>
      <c r="AR24" s="39"/>
      <c r="AS24" s="39"/>
      <c r="AT24" s="36"/>
      <c r="AU24" s="36"/>
      <c r="AV24" s="36"/>
      <c r="AW24" s="39"/>
      <c r="AX24" s="36"/>
      <c r="AY24" s="36"/>
      <c r="AZ24" s="36"/>
      <c r="BA24" s="36"/>
      <c r="BB24" s="36"/>
      <c r="BC24" s="39"/>
      <c r="BD24" s="36"/>
      <c r="BE24" s="36"/>
      <c r="BF24" s="36"/>
      <c r="BG24" s="36"/>
      <c r="BH24" s="36"/>
      <c r="BI24" s="39"/>
      <c r="BJ24" s="36"/>
      <c r="BK24" s="36"/>
      <c r="BL24" s="36"/>
      <c r="BM24" s="36"/>
      <c r="BN24" s="36"/>
      <c r="BO24" s="39"/>
      <c r="BP24" s="36"/>
      <c r="BQ24" s="36"/>
      <c r="BR24" s="36"/>
      <c r="BS24" s="36"/>
      <c r="BT24" s="36"/>
      <c r="BU24" s="39"/>
      <c r="BV24" s="36"/>
      <c r="BW24" s="36"/>
      <c r="BX24" s="36"/>
      <c r="BY24" s="36">
        <v>-168927</v>
      </c>
      <c r="BZ24" s="36">
        <v>0</v>
      </c>
      <c r="CA24" s="39">
        <f t="shared" si="26"/>
        <v>-168927</v>
      </c>
      <c r="CB24" s="39">
        <f t="shared" ref="CB24:CB35" si="29">SUM(BW24:BZ24)</f>
        <v>-168927</v>
      </c>
      <c r="CC24" s="36">
        <v>0</v>
      </c>
      <c r="CD24" s="36">
        <v>0</v>
      </c>
      <c r="CE24" s="36">
        <v>0</v>
      </c>
      <c r="CF24" s="36">
        <v>0</v>
      </c>
      <c r="CG24" s="39">
        <f t="shared" si="27"/>
        <v>0</v>
      </c>
      <c r="CH24" s="39">
        <v>0</v>
      </c>
      <c r="CI24" s="36">
        <v>0</v>
      </c>
      <c r="CJ24" s="36">
        <v>0</v>
      </c>
      <c r="CK24" s="36">
        <v>0</v>
      </c>
      <c r="CL24" s="36">
        <v>0</v>
      </c>
      <c r="CM24" s="39">
        <f t="shared" si="28"/>
        <v>0</v>
      </c>
    </row>
    <row r="25" spans="2:91" ht="12" x14ac:dyDescent="0.3">
      <c r="B25" s="23" t="s">
        <v>72</v>
      </c>
      <c r="C25" s="63">
        <v>2441.9319999999998</v>
      </c>
      <c r="D25" s="38">
        <v>27884.592000000001</v>
      </c>
      <c r="E25" s="38">
        <v>3724.56</v>
      </c>
      <c r="F25" s="38">
        <v>8622.77</v>
      </c>
      <c r="G25" s="38">
        <v>42028.785000000003</v>
      </c>
      <c r="H25" s="38">
        <v>42028.785000000003</v>
      </c>
      <c r="I25" s="38">
        <v>5521</v>
      </c>
      <c r="J25" s="38">
        <v>51183</v>
      </c>
      <c r="K25" s="38">
        <v>53420</v>
      </c>
      <c r="L25" s="38">
        <v>21796</v>
      </c>
      <c r="M25" s="38">
        <v>131920</v>
      </c>
      <c r="N25" s="38">
        <v>131920</v>
      </c>
      <c r="O25" s="38">
        <v>122998</v>
      </c>
      <c r="P25" s="38">
        <v>194729</v>
      </c>
      <c r="Q25" s="38">
        <v>214004</v>
      </c>
      <c r="R25" s="38">
        <v>148842</v>
      </c>
      <c r="S25" s="38">
        <v>680573</v>
      </c>
      <c r="T25" s="38">
        <v>680573</v>
      </c>
      <c r="U25" s="38">
        <v>3697</v>
      </c>
      <c r="V25" s="38">
        <v>65029</v>
      </c>
      <c r="W25" s="38">
        <v>201122</v>
      </c>
      <c r="X25" s="38">
        <v>160646</v>
      </c>
      <c r="Y25" s="38">
        <v>430494</v>
      </c>
      <c r="Z25" s="38">
        <v>430494</v>
      </c>
      <c r="AA25" s="38">
        <v>199346</v>
      </c>
      <c r="AB25" s="39">
        <v>128291</v>
      </c>
      <c r="AC25" s="39">
        <v>43533</v>
      </c>
      <c r="AD25" s="39">
        <v>40913</v>
      </c>
      <c r="AE25" s="39">
        <v>412083</v>
      </c>
      <c r="AF25" s="39">
        <v>412083</v>
      </c>
      <c r="AG25" s="38">
        <v>38147</v>
      </c>
      <c r="AH25" s="38">
        <v>26320</v>
      </c>
      <c r="AI25" s="39">
        <v>102924</v>
      </c>
      <c r="AJ25" s="39">
        <v>96442</v>
      </c>
      <c r="AK25" s="39">
        <v>263833</v>
      </c>
      <c r="AL25" s="39">
        <v>263833</v>
      </c>
      <c r="AM25" s="38">
        <v>118653</v>
      </c>
      <c r="AN25" s="38">
        <v>143567</v>
      </c>
      <c r="AO25" s="39">
        <v>112557</v>
      </c>
      <c r="AP25" s="39">
        <v>263152</v>
      </c>
      <c r="AQ25" s="39">
        <v>637929</v>
      </c>
      <c r="AR25" s="39">
        <v>637929</v>
      </c>
      <c r="AS25" s="39">
        <v>137880.23099000001</v>
      </c>
      <c r="AT25" s="36">
        <v>145040</v>
      </c>
      <c r="AU25" s="36">
        <v>177965</v>
      </c>
      <c r="AV25" s="36">
        <v>139870</v>
      </c>
      <c r="AW25" s="39">
        <v>600755.23099000007</v>
      </c>
      <c r="AX25" s="36">
        <v>600755.23099000007</v>
      </c>
      <c r="AY25" s="36">
        <v>158727</v>
      </c>
      <c r="AZ25" s="36">
        <v>149931</v>
      </c>
      <c r="BA25" s="36">
        <v>232143</v>
      </c>
      <c r="BB25" s="36">
        <v>107326</v>
      </c>
      <c r="BC25" s="39">
        <v>648127</v>
      </c>
      <c r="BD25" s="36">
        <v>648127</v>
      </c>
      <c r="BE25" s="36">
        <v>31118</v>
      </c>
      <c r="BF25" s="36">
        <v>122566</v>
      </c>
      <c r="BG25" s="36">
        <v>94922</v>
      </c>
      <c r="BH25" s="36">
        <f>'[3]ER dic 20'!$I$25</f>
        <v>57929</v>
      </c>
      <c r="BI25" s="39">
        <f t="shared" si="23"/>
        <v>306535</v>
      </c>
      <c r="BJ25" s="36">
        <v>306535</v>
      </c>
      <c r="BK25" s="36">
        <v>79858</v>
      </c>
      <c r="BL25" s="36">
        <v>28273</v>
      </c>
      <c r="BM25" s="36">
        <v>12194</v>
      </c>
      <c r="BN25" s="36">
        <v>33689</v>
      </c>
      <c r="BO25" s="39">
        <f t="shared" si="24"/>
        <v>154014</v>
      </c>
      <c r="BP25" s="36">
        <v>154014</v>
      </c>
      <c r="BQ25" s="36">
        <v>38711</v>
      </c>
      <c r="BR25" s="36">
        <v>79867</v>
      </c>
      <c r="BS25" s="36">
        <v>66158</v>
      </c>
      <c r="BT25" s="36">
        <v>95805</v>
      </c>
      <c r="BU25" s="39">
        <f t="shared" si="25"/>
        <v>280541</v>
      </c>
      <c r="BV25" s="36">
        <v>280541</v>
      </c>
      <c r="BW25" s="36">
        <v>95206</v>
      </c>
      <c r="BX25" s="36">
        <v>54501</v>
      </c>
      <c r="BY25" s="36">
        <v>57811</v>
      </c>
      <c r="BZ25" s="36">
        <v>46473</v>
      </c>
      <c r="CA25" s="39">
        <f t="shared" si="26"/>
        <v>253991</v>
      </c>
      <c r="CB25" s="39">
        <f t="shared" si="29"/>
        <v>253991</v>
      </c>
      <c r="CC25" s="36">
        <v>68982</v>
      </c>
      <c r="CD25" s="36">
        <v>62329</v>
      </c>
      <c r="CE25" s="36">
        <v>68767</v>
      </c>
      <c r="CF25" s="36">
        <v>76369</v>
      </c>
      <c r="CG25" s="39">
        <f t="shared" si="27"/>
        <v>276447</v>
      </c>
      <c r="CH25" s="39">
        <v>276447</v>
      </c>
      <c r="CI25" s="36">
        <v>114346</v>
      </c>
      <c r="CJ25" s="36">
        <v>45963</v>
      </c>
      <c r="CK25" s="36">
        <v>36188</v>
      </c>
      <c r="CL25" s="36">
        <v>132396</v>
      </c>
      <c r="CM25" s="39">
        <f t="shared" si="28"/>
        <v>328893</v>
      </c>
    </row>
    <row r="26" spans="2:91" ht="12" x14ac:dyDescent="0.3">
      <c r="B26" s="23" t="s">
        <v>73</v>
      </c>
      <c r="C26" s="63"/>
      <c r="D26" s="38"/>
      <c r="E26" s="38"/>
      <c r="F26" s="38"/>
      <c r="G26" s="38"/>
      <c r="H26" s="38"/>
      <c r="I26" s="38"/>
      <c r="J26" s="38"/>
      <c r="K26" s="38"/>
      <c r="L26" s="38"/>
      <c r="M26" s="38"/>
      <c r="N26" s="38"/>
      <c r="O26" s="38"/>
      <c r="P26" s="38"/>
      <c r="Q26" s="38"/>
      <c r="R26" s="38"/>
      <c r="S26" s="38"/>
      <c r="T26" s="38"/>
      <c r="U26" s="38"/>
      <c r="V26" s="38"/>
      <c r="W26" s="38"/>
      <c r="X26" s="38"/>
      <c r="Y26" s="38"/>
      <c r="Z26" s="38"/>
      <c r="AA26" s="38"/>
      <c r="AB26" s="39"/>
      <c r="AC26" s="39"/>
      <c r="AD26" s="39"/>
      <c r="AE26" s="39"/>
      <c r="AF26" s="39"/>
      <c r="AG26" s="38"/>
      <c r="AH26" s="38"/>
      <c r="AI26" s="39"/>
      <c r="AJ26" s="39"/>
      <c r="AK26" s="39"/>
      <c r="AL26" s="39"/>
      <c r="AM26" s="38"/>
      <c r="AN26" s="38"/>
      <c r="AO26" s="39"/>
      <c r="AP26" s="39">
        <v>83800</v>
      </c>
      <c r="AQ26" s="39">
        <v>83800</v>
      </c>
      <c r="AR26" s="39">
        <v>83800</v>
      </c>
      <c r="AS26" s="39">
        <v>22895.848969999999</v>
      </c>
      <c r="AT26" s="36">
        <v>87212</v>
      </c>
      <c r="AU26" s="36">
        <v>64068</v>
      </c>
      <c r="AV26" s="36">
        <v>49115</v>
      </c>
      <c r="AW26" s="39">
        <v>223290.84896999999</v>
      </c>
      <c r="AX26" s="36">
        <v>223290.84896999999</v>
      </c>
      <c r="AY26" s="36">
        <v>40000</v>
      </c>
      <c r="AZ26" s="36">
        <v>0</v>
      </c>
      <c r="BA26" s="36">
        <v>10575</v>
      </c>
      <c r="BB26" s="36">
        <v>0</v>
      </c>
      <c r="BC26" s="39">
        <v>50575</v>
      </c>
      <c r="BD26" s="36">
        <v>50575</v>
      </c>
      <c r="BE26" s="36">
        <v>0</v>
      </c>
      <c r="BF26" s="36">
        <v>0</v>
      </c>
      <c r="BG26" s="36">
        <v>199898</v>
      </c>
      <c r="BH26" s="36">
        <f>'[3]ER dic 20'!$I$28</f>
        <v>289782</v>
      </c>
      <c r="BI26" s="39">
        <f t="shared" si="23"/>
        <v>489680</v>
      </c>
      <c r="BJ26" s="36">
        <v>489680</v>
      </c>
      <c r="BK26" s="36">
        <v>47181</v>
      </c>
      <c r="BL26" s="36"/>
      <c r="BM26" s="36"/>
      <c r="BN26" s="36">
        <v>96192</v>
      </c>
      <c r="BO26" s="39">
        <f t="shared" si="24"/>
        <v>143373</v>
      </c>
      <c r="BP26" s="36">
        <v>143373</v>
      </c>
      <c r="BQ26" s="36">
        <v>0</v>
      </c>
      <c r="BR26" s="36">
        <v>131795</v>
      </c>
      <c r="BS26" s="36">
        <v>143432</v>
      </c>
      <c r="BT26" s="160">
        <v>597825</v>
      </c>
      <c r="BU26" s="39">
        <f>SUM(BQ26:BT26)</f>
        <v>873052</v>
      </c>
      <c r="BV26" s="36">
        <v>873052</v>
      </c>
      <c r="BW26" s="36">
        <v>0</v>
      </c>
      <c r="BX26" s="36">
        <v>0</v>
      </c>
      <c r="BY26" s="36">
        <v>0</v>
      </c>
      <c r="BZ26" s="160">
        <v>0</v>
      </c>
      <c r="CA26" s="39">
        <f>SUM(BW26:BZ26)</f>
        <v>0</v>
      </c>
      <c r="CB26" s="39">
        <f t="shared" si="29"/>
        <v>0</v>
      </c>
      <c r="CC26" s="36">
        <v>0</v>
      </c>
      <c r="CD26" s="36">
        <v>0</v>
      </c>
      <c r="CE26" s="36">
        <v>0</v>
      </c>
      <c r="CF26" s="160">
        <v>0</v>
      </c>
      <c r="CG26" s="39">
        <f t="shared" si="27"/>
        <v>0</v>
      </c>
      <c r="CH26" s="39">
        <v>0</v>
      </c>
      <c r="CI26" s="36">
        <v>0</v>
      </c>
      <c r="CJ26" s="36">
        <v>0</v>
      </c>
      <c r="CK26" s="36">
        <v>44117</v>
      </c>
      <c r="CL26" s="160">
        <v>8178</v>
      </c>
      <c r="CM26" s="39">
        <f t="shared" si="28"/>
        <v>52295</v>
      </c>
    </row>
    <row r="27" spans="2:91" ht="12" x14ac:dyDescent="0.3">
      <c r="B27" s="23" t="s">
        <v>334</v>
      </c>
      <c r="C27" s="63"/>
      <c r="D27" s="38"/>
      <c r="E27" s="38"/>
      <c r="F27" s="38"/>
      <c r="G27" s="38"/>
      <c r="H27" s="38"/>
      <c r="I27" s="38"/>
      <c r="J27" s="38"/>
      <c r="K27" s="38"/>
      <c r="L27" s="38"/>
      <c r="M27" s="38"/>
      <c r="N27" s="38"/>
      <c r="O27" s="38"/>
      <c r="P27" s="38"/>
      <c r="Q27" s="38"/>
      <c r="R27" s="38"/>
      <c r="S27" s="38"/>
      <c r="T27" s="38"/>
      <c r="U27" s="38"/>
      <c r="V27" s="38"/>
      <c r="W27" s="38"/>
      <c r="X27" s="38"/>
      <c r="Y27" s="38"/>
      <c r="Z27" s="38"/>
      <c r="AA27" s="38"/>
      <c r="AB27" s="39"/>
      <c r="AC27" s="39"/>
      <c r="AD27" s="39"/>
      <c r="AE27" s="39"/>
      <c r="AF27" s="39"/>
      <c r="AG27" s="38"/>
      <c r="AH27" s="38"/>
      <c r="AI27" s="39"/>
      <c r="AJ27" s="39"/>
      <c r="AK27" s="39"/>
      <c r="AL27" s="39"/>
      <c r="AM27" s="38"/>
      <c r="AN27" s="38"/>
      <c r="AO27" s="39"/>
      <c r="AP27" s="39"/>
      <c r="AQ27" s="39"/>
      <c r="AR27" s="39"/>
      <c r="AS27" s="39"/>
      <c r="AT27" s="36"/>
      <c r="AU27" s="36"/>
      <c r="AV27" s="36"/>
      <c r="AW27" s="39"/>
      <c r="AX27" s="36"/>
      <c r="AY27" s="36"/>
      <c r="AZ27" s="36"/>
      <c r="BA27" s="36"/>
      <c r="BB27" s="36"/>
      <c r="BC27" s="39"/>
      <c r="BD27" s="36"/>
      <c r="BE27" s="36"/>
      <c r="BF27" s="36"/>
      <c r="BG27" s="36"/>
      <c r="BH27" s="36"/>
      <c r="BI27" s="39"/>
      <c r="BJ27" s="36"/>
      <c r="BK27" s="36"/>
      <c r="BL27" s="36"/>
      <c r="BM27" s="36"/>
      <c r="BN27" s="36"/>
      <c r="BO27" s="39">
        <v>0</v>
      </c>
      <c r="BP27" s="36">
        <v>0</v>
      </c>
      <c r="BQ27" s="36">
        <v>0</v>
      </c>
      <c r="BR27" s="36">
        <v>0</v>
      </c>
      <c r="BS27" s="36">
        <v>97169</v>
      </c>
      <c r="BT27" s="160">
        <v>0</v>
      </c>
      <c r="BU27" s="39">
        <f>SUM(BQ27:BT27)</f>
        <v>97169</v>
      </c>
      <c r="BV27" s="36">
        <v>97168</v>
      </c>
      <c r="BW27" s="36">
        <v>0</v>
      </c>
      <c r="BX27" s="36">
        <v>0</v>
      </c>
      <c r="BY27" s="36">
        <v>0</v>
      </c>
      <c r="BZ27" s="160">
        <v>0</v>
      </c>
      <c r="CA27" s="39">
        <f>SUM(BW27:BZ27)</f>
        <v>0</v>
      </c>
      <c r="CB27" s="39">
        <f t="shared" si="29"/>
        <v>0</v>
      </c>
      <c r="CC27" s="36">
        <v>0</v>
      </c>
      <c r="CD27" s="36">
        <v>0</v>
      </c>
      <c r="CE27" s="36">
        <v>0</v>
      </c>
      <c r="CF27" s="160">
        <v>0</v>
      </c>
      <c r="CG27" s="39">
        <f t="shared" si="27"/>
        <v>0</v>
      </c>
      <c r="CH27" s="39">
        <v>0</v>
      </c>
      <c r="CI27" s="36">
        <v>0</v>
      </c>
      <c r="CJ27" s="36">
        <v>0</v>
      </c>
      <c r="CK27" s="36">
        <v>0</v>
      </c>
      <c r="CL27" s="160">
        <v>0</v>
      </c>
      <c r="CM27" s="39">
        <f t="shared" si="28"/>
        <v>0</v>
      </c>
    </row>
    <row r="28" spans="2:91" ht="12" x14ac:dyDescent="0.3">
      <c r="B28" s="23" t="s">
        <v>381</v>
      </c>
      <c r="C28" s="63">
        <v>0</v>
      </c>
      <c r="D28" s="38">
        <v>0</v>
      </c>
      <c r="E28" s="38">
        <v>0</v>
      </c>
      <c r="F28" s="38">
        <v>0</v>
      </c>
      <c r="G28" s="38">
        <v>155.59799999999998</v>
      </c>
      <c r="H28" s="38">
        <v>174.14699999999999</v>
      </c>
      <c r="I28" s="38">
        <v>3718</v>
      </c>
      <c r="J28" s="38">
        <v>619</v>
      </c>
      <c r="K28" s="38">
        <v>139249</v>
      </c>
      <c r="L28" s="38">
        <v>-72032</v>
      </c>
      <c r="M28" s="38">
        <v>71554</v>
      </c>
      <c r="N28" s="38">
        <v>71554</v>
      </c>
      <c r="O28" s="38">
        <v>266699</v>
      </c>
      <c r="P28" s="38">
        <v>-248195</v>
      </c>
      <c r="Q28" s="38">
        <v>-27159</v>
      </c>
      <c r="R28" s="38">
        <v>-7771</v>
      </c>
      <c r="S28" s="38">
        <v>-16426</v>
      </c>
      <c r="T28" s="38">
        <v>-16426</v>
      </c>
      <c r="U28" s="38">
        <v>101818</v>
      </c>
      <c r="V28" s="38">
        <v>333187</v>
      </c>
      <c r="W28" s="38">
        <v>-832824</v>
      </c>
      <c r="X28" s="38">
        <v>-1824278</v>
      </c>
      <c r="Y28" s="38">
        <v>-2222097</v>
      </c>
      <c r="Z28" s="38">
        <v>-2222097</v>
      </c>
      <c r="AA28" s="38">
        <v>-784347</v>
      </c>
      <c r="AB28" s="39">
        <v>-610311</v>
      </c>
      <c r="AC28" s="39">
        <v>-2094798</v>
      </c>
      <c r="AD28" s="39">
        <v>-388686</v>
      </c>
      <c r="AE28" s="39">
        <v>-3878142</v>
      </c>
      <c r="AF28" s="39">
        <v>-3878142</v>
      </c>
      <c r="AG28" s="38">
        <v>77321</v>
      </c>
      <c r="AH28" s="38">
        <v>-1694071</v>
      </c>
      <c r="AI28" s="39">
        <v>-1197177</v>
      </c>
      <c r="AJ28" s="39">
        <v>-1938680</v>
      </c>
      <c r="AK28" s="39">
        <v>-4752607</v>
      </c>
      <c r="AL28" s="39">
        <v>-4752607</v>
      </c>
      <c r="AM28" s="38">
        <v>2481181</v>
      </c>
      <c r="AN28" s="38">
        <v>653151</v>
      </c>
      <c r="AO28" s="39">
        <v>-89190</v>
      </c>
      <c r="AP28" s="39">
        <v>-2353601</v>
      </c>
      <c r="AQ28" s="39">
        <v>691541</v>
      </c>
      <c r="AR28" s="39">
        <v>691541</v>
      </c>
      <c r="AS28" s="39">
        <v>1935017</v>
      </c>
      <c r="AT28" s="36">
        <v>-2124368</v>
      </c>
      <c r="AU28" s="36">
        <v>1347913</v>
      </c>
      <c r="AV28" s="36">
        <v>-1234703</v>
      </c>
      <c r="AW28" s="39">
        <v>-76141</v>
      </c>
      <c r="AX28" s="36">
        <v>-76141</v>
      </c>
      <c r="AY28" s="36">
        <v>491838</v>
      </c>
      <c r="AZ28" s="36">
        <v>160572</v>
      </c>
      <c r="BA28" s="36">
        <v>-953900</v>
      </c>
      <c r="BB28" s="36">
        <v>1976671</v>
      </c>
      <c r="BC28" s="39">
        <v>1675181</v>
      </c>
      <c r="BD28" s="36">
        <v>1559953</v>
      </c>
      <c r="BE28" s="36">
        <v>-15389398</v>
      </c>
      <c r="BF28" s="36">
        <v>3344795</v>
      </c>
      <c r="BG28" s="36">
        <v>2175209</v>
      </c>
      <c r="BH28" s="36">
        <f>'[3]ER dic 20'!$I$29</f>
        <v>7710447</v>
      </c>
      <c r="BI28" s="39">
        <f t="shared" si="23"/>
        <v>-2158947</v>
      </c>
      <c r="BJ28" s="36">
        <v>-2158947</v>
      </c>
      <c r="BK28" s="36">
        <v>-2417257</v>
      </c>
      <c r="BL28" s="36">
        <v>2921318</v>
      </c>
      <c r="BM28" s="36">
        <v>-2310825</v>
      </c>
      <c r="BN28" s="36">
        <v>-616215</v>
      </c>
      <c r="BO28" s="39">
        <f t="shared" si="24"/>
        <v>-2422979</v>
      </c>
      <c r="BP28" s="36">
        <v>-2422979</v>
      </c>
      <c r="BQ28" s="36">
        <v>1815316</v>
      </c>
      <c r="BR28" s="36">
        <v>192909</v>
      </c>
      <c r="BS28" s="36">
        <v>-1578695</v>
      </c>
      <c r="BT28" s="160">
        <v>3167185</v>
      </c>
      <c r="BU28" s="39">
        <f t="shared" ref="BU28:BU39" si="30">SUM(BQ28:BT28)</f>
        <v>3596715</v>
      </c>
      <c r="BV28" s="36">
        <v>3596716</v>
      </c>
      <c r="BW28" s="36">
        <v>4175661</v>
      </c>
      <c r="BX28" s="36">
        <v>3003798</v>
      </c>
      <c r="BY28" s="36">
        <v>-2555496</v>
      </c>
      <c r="BZ28" s="160">
        <v>2830445</v>
      </c>
      <c r="CA28" s="39">
        <f t="shared" ref="CA28:CA32" si="31">SUM(BW28:BZ28)</f>
        <v>7454408</v>
      </c>
      <c r="CB28" s="39">
        <f t="shared" si="29"/>
        <v>7454408</v>
      </c>
      <c r="CC28" s="36">
        <v>337185</v>
      </c>
      <c r="CD28" s="36">
        <v>-4477683</v>
      </c>
      <c r="CE28" s="36">
        <v>-4539017</v>
      </c>
      <c r="CF28" s="36">
        <v>-1437385</v>
      </c>
      <c r="CG28" s="39">
        <f t="shared" si="27"/>
        <v>-10116900</v>
      </c>
      <c r="CH28" s="39">
        <v>-10116900</v>
      </c>
      <c r="CI28" s="36">
        <v>-706483</v>
      </c>
      <c r="CJ28" s="36">
        <v>3017413</v>
      </c>
      <c r="CK28" s="36">
        <v>1290019</v>
      </c>
      <c r="CL28" s="36">
        <v>3168600</v>
      </c>
      <c r="CM28" s="39">
        <f t="shared" si="28"/>
        <v>6769549</v>
      </c>
    </row>
    <row r="29" spans="2:91" ht="12" x14ac:dyDescent="0.3">
      <c r="B29" s="23" t="s">
        <v>74</v>
      </c>
      <c r="C29" s="63"/>
      <c r="D29" s="38"/>
      <c r="E29" s="38"/>
      <c r="F29" s="38"/>
      <c r="G29" s="38"/>
      <c r="H29" s="38"/>
      <c r="I29" s="38"/>
      <c r="J29" s="38"/>
      <c r="K29" s="38"/>
      <c r="L29" s="38"/>
      <c r="M29" s="38"/>
      <c r="N29" s="38"/>
      <c r="O29" s="38"/>
      <c r="P29" s="38"/>
      <c r="Q29" s="38"/>
      <c r="R29" s="38"/>
      <c r="S29" s="38"/>
      <c r="T29" s="38"/>
      <c r="U29" s="38"/>
      <c r="V29" s="38"/>
      <c r="W29" s="38"/>
      <c r="X29" s="38"/>
      <c r="Y29" s="38"/>
      <c r="Z29" s="38"/>
      <c r="AA29" s="38"/>
      <c r="AB29" s="39"/>
      <c r="AC29" s="39"/>
      <c r="AD29" s="39"/>
      <c r="AE29" s="39"/>
      <c r="AF29" s="39"/>
      <c r="AG29" s="38">
        <v>0</v>
      </c>
      <c r="AH29" s="38">
        <v>-193352</v>
      </c>
      <c r="AI29" s="39">
        <v>194294</v>
      </c>
      <c r="AJ29" s="39">
        <v>-47566</v>
      </c>
      <c r="AK29" s="39">
        <v>-46624</v>
      </c>
      <c r="AL29" s="39">
        <v>-46624</v>
      </c>
      <c r="AM29" s="38">
        <v>-145923</v>
      </c>
      <c r="AN29" s="38">
        <v>95984</v>
      </c>
      <c r="AO29" s="39">
        <v>-292141</v>
      </c>
      <c r="AP29" s="39">
        <v>1003691</v>
      </c>
      <c r="AQ29" s="39">
        <v>661611</v>
      </c>
      <c r="AR29" s="39">
        <v>661611</v>
      </c>
      <c r="AS29" s="39">
        <v>-702900</v>
      </c>
      <c r="AT29" s="36">
        <v>-246979</v>
      </c>
      <c r="AU29" s="36">
        <v>368016</v>
      </c>
      <c r="AV29" s="36">
        <v>-367109</v>
      </c>
      <c r="AW29" s="39">
        <v>-948972</v>
      </c>
      <c r="AX29" s="36">
        <v>-948972</v>
      </c>
      <c r="AY29" s="36">
        <v>83077</v>
      </c>
      <c r="AZ29" s="36">
        <v>108798</v>
      </c>
      <c r="BA29" s="36">
        <v>-117282</v>
      </c>
      <c r="BB29" s="36">
        <v>112988</v>
      </c>
      <c r="BC29" s="39">
        <v>187581</v>
      </c>
      <c r="BD29" s="36">
        <v>279664</v>
      </c>
      <c r="BE29" s="36">
        <v>-1829141</v>
      </c>
      <c r="BF29" s="36">
        <v>287789</v>
      </c>
      <c r="BG29" s="36">
        <v>339566</v>
      </c>
      <c r="BH29" s="36">
        <f>'[3]ER dic 20'!$I$30</f>
        <v>731510</v>
      </c>
      <c r="BI29" s="39">
        <f t="shared" si="23"/>
        <v>-470276</v>
      </c>
      <c r="BJ29" s="36">
        <v>-470276</v>
      </c>
      <c r="BK29" s="36">
        <v>-43934</v>
      </c>
      <c r="BL29" s="36">
        <v>202879</v>
      </c>
      <c r="BM29" s="36">
        <v>-372097</v>
      </c>
      <c r="BN29" s="36">
        <v>566722</v>
      </c>
      <c r="BO29" s="39">
        <f t="shared" si="24"/>
        <v>353570</v>
      </c>
      <c r="BP29" s="36">
        <v>353570</v>
      </c>
      <c r="BQ29" s="36">
        <v>-43565</v>
      </c>
      <c r="BR29" s="36">
        <v>-99798</v>
      </c>
      <c r="BS29" s="36">
        <v>106203</v>
      </c>
      <c r="BT29" s="160">
        <v>-62826</v>
      </c>
      <c r="BU29" s="39">
        <f t="shared" si="30"/>
        <v>-99986</v>
      </c>
      <c r="BV29" s="36">
        <v>-99986</v>
      </c>
      <c r="BW29" s="36">
        <v>108058</v>
      </c>
      <c r="BX29" s="36">
        <v>-71810</v>
      </c>
      <c r="BY29" s="36">
        <v>154803</v>
      </c>
      <c r="BZ29" s="160">
        <v>-78152</v>
      </c>
      <c r="CA29" s="39">
        <f t="shared" si="31"/>
        <v>112899</v>
      </c>
      <c r="CB29" s="39">
        <f t="shared" si="29"/>
        <v>112899</v>
      </c>
      <c r="CC29" s="36">
        <v>78680</v>
      </c>
      <c r="CD29" s="174">
        <v>-98924</v>
      </c>
      <c r="CE29" s="36">
        <v>-9192</v>
      </c>
      <c r="CF29" s="36">
        <v>-98622</v>
      </c>
      <c r="CG29" s="39">
        <f t="shared" si="27"/>
        <v>-128058</v>
      </c>
      <c r="CH29" s="39">
        <v>-128058</v>
      </c>
      <c r="CI29" s="36">
        <v>95124</v>
      </c>
      <c r="CJ29" s="174">
        <v>-40418</v>
      </c>
      <c r="CK29" s="36">
        <v>41169</v>
      </c>
      <c r="CL29" s="36">
        <v>-281055</v>
      </c>
      <c r="CM29" s="39">
        <f t="shared" si="28"/>
        <v>-185180</v>
      </c>
    </row>
    <row r="30" spans="2:91" s="172" customFormat="1" ht="36" x14ac:dyDescent="0.25">
      <c r="B30" s="178" t="s">
        <v>354</v>
      </c>
      <c r="C30" s="173">
        <v>0</v>
      </c>
      <c r="D30" s="174">
        <v>0</v>
      </c>
      <c r="E30" s="174">
        <v>0</v>
      </c>
      <c r="F30" s="174">
        <v>0</v>
      </c>
      <c r="G30" s="174">
        <v>0</v>
      </c>
      <c r="H30" s="174">
        <v>0</v>
      </c>
      <c r="I30" s="174">
        <v>0</v>
      </c>
      <c r="J30" s="174">
        <v>0</v>
      </c>
      <c r="K30" s="174">
        <v>0</v>
      </c>
      <c r="L30" s="174">
        <v>148995</v>
      </c>
      <c r="M30" s="174">
        <v>148995</v>
      </c>
      <c r="N30" s="174">
        <v>148995</v>
      </c>
      <c r="O30" s="174">
        <v>0</v>
      </c>
      <c r="P30" s="174">
        <v>0</v>
      </c>
      <c r="Q30" s="174">
        <v>0</v>
      </c>
      <c r="R30" s="174">
        <v>7720462</v>
      </c>
      <c r="S30" s="174">
        <v>7720462</v>
      </c>
      <c r="T30" s="174">
        <v>7720462</v>
      </c>
      <c r="U30" s="174">
        <v>294907</v>
      </c>
      <c r="V30" s="174">
        <v>777925</v>
      </c>
      <c r="W30" s="174">
        <v>592243</v>
      </c>
      <c r="X30" s="174">
        <v>2994685</v>
      </c>
      <c r="Y30" s="174">
        <v>4659760</v>
      </c>
      <c r="Z30" s="174">
        <v>4659760</v>
      </c>
      <c r="AA30" s="174">
        <v>1164940</v>
      </c>
      <c r="AB30" s="175">
        <v>713088</v>
      </c>
      <c r="AC30" s="175">
        <v>959684</v>
      </c>
      <c r="AD30" s="175">
        <v>1876329</v>
      </c>
      <c r="AE30" s="174">
        <v>4714041</v>
      </c>
      <c r="AF30" s="174">
        <v>4714041</v>
      </c>
      <c r="AG30" s="174">
        <v>1274845</v>
      </c>
      <c r="AH30" s="174">
        <v>2897147</v>
      </c>
      <c r="AI30" s="174">
        <v>908677</v>
      </c>
      <c r="AJ30" s="174">
        <v>4033415</v>
      </c>
      <c r="AK30" s="174">
        <v>9114084</v>
      </c>
      <c r="AL30" s="174">
        <v>9114084</v>
      </c>
      <c r="AM30" s="174">
        <v>1144207</v>
      </c>
      <c r="AN30" s="174">
        <v>1287638</v>
      </c>
      <c r="AO30" s="174">
        <v>995511</v>
      </c>
      <c r="AP30" s="174">
        <v>1433983</v>
      </c>
      <c r="AQ30" s="174">
        <v>4861339</v>
      </c>
      <c r="AR30" s="174">
        <v>4861339</v>
      </c>
      <c r="AS30" s="174">
        <v>1816808</v>
      </c>
      <c r="AT30" s="174">
        <v>1367534</v>
      </c>
      <c r="AU30" s="174">
        <v>926804</v>
      </c>
      <c r="AV30" s="174">
        <v>6780794</v>
      </c>
      <c r="AW30" s="174">
        <v>10891940</v>
      </c>
      <c r="AX30" s="174">
        <v>10891940</v>
      </c>
      <c r="AY30" s="174">
        <v>1957745</v>
      </c>
      <c r="AZ30" s="176">
        <v>3225542</v>
      </c>
      <c r="BA30" s="176">
        <v>1072250</v>
      </c>
      <c r="BB30" s="176">
        <v>2714609</v>
      </c>
      <c r="BC30" s="174">
        <v>8712632</v>
      </c>
      <c r="BD30" s="174">
        <v>8161085</v>
      </c>
      <c r="BE30" s="174">
        <v>-10824</v>
      </c>
      <c r="BF30" s="176">
        <v>8681861</v>
      </c>
      <c r="BG30" s="176">
        <v>761867</v>
      </c>
      <c r="BH30" s="176">
        <f>'[3]ER dic 20'!$I$31</f>
        <v>666979</v>
      </c>
      <c r="BI30" s="175">
        <f t="shared" si="23"/>
        <v>10099883</v>
      </c>
      <c r="BJ30" s="175">
        <v>10099883</v>
      </c>
      <c r="BK30" s="174">
        <v>155588</v>
      </c>
      <c r="BL30" s="174">
        <v>-3747915</v>
      </c>
      <c r="BM30" s="174">
        <v>12609</v>
      </c>
      <c r="BN30" s="174">
        <v>1000590</v>
      </c>
      <c r="BO30" s="175">
        <f t="shared" si="24"/>
        <v>-2579128</v>
      </c>
      <c r="BP30" s="175">
        <v>-2579128</v>
      </c>
      <c r="BQ30" s="174">
        <v>305170</v>
      </c>
      <c r="BR30" s="174">
        <v>183770</v>
      </c>
      <c r="BS30" s="174">
        <v>3418559</v>
      </c>
      <c r="BT30" s="177">
        <v>7195347</v>
      </c>
      <c r="BU30" s="175">
        <f t="shared" si="30"/>
        <v>11102846</v>
      </c>
      <c r="BV30" s="175">
        <v>11102845</v>
      </c>
      <c r="BW30" s="174">
        <v>230021</v>
      </c>
      <c r="BX30" s="174">
        <v>816918</v>
      </c>
      <c r="BY30" s="174">
        <v>73380</v>
      </c>
      <c r="BZ30" s="177">
        <v>1043821</v>
      </c>
      <c r="CA30" s="175">
        <f t="shared" si="31"/>
        <v>2164140</v>
      </c>
      <c r="CB30" s="175">
        <f t="shared" si="29"/>
        <v>2164140</v>
      </c>
      <c r="CC30" s="174">
        <v>83422</v>
      </c>
      <c r="CD30" s="174">
        <v>6713046</v>
      </c>
      <c r="CE30" s="174">
        <v>1270364</v>
      </c>
      <c r="CF30" s="36">
        <v>3121192</v>
      </c>
      <c r="CG30" s="175">
        <f t="shared" si="27"/>
        <v>11188024</v>
      </c>
      <c r="CH30" s="175">
        <v>11188024</v>
      </c>
      <c r="CI30" s="174">
        <v>-15595</v>
      </c>
      <c r="CJ30" s="174">
        <v>225366</v>
      </c>
      <c r="CK30" s="174">
        <v>44465</v>
      </c>
      <c r="CL30" s="36">
        <v>11439737</v>
      </c>
      <c r="CM30" s="175">
        <f t="shared" si="28"/>
        <v>11693973</v>
      </c>
    </row>
    <row r="31" spans="2:91" ht="12" x14ac:dyDescent="0.3">
      <c r="B31" s="23" t="s">
        <v>75</v>
      </c>
      <c r="C31" s="63">
        <v>0</v>
      </c>
      <c r="D31" s="38">
        <v>0</v>
      </c>
      <c r="E31" s="38">
        <v>0</v>
      </c>
      <c r="F31" s="38">
        <v>0</v>
      </c>
      <c r="G31" s="38">
        <v>0</v>
      </c>
      <c r="H31" s="38">
        <v>0</v>
      </c>
      <c r="I31" s="38">
        <v>0</v>
      </c>
      <c r="J31" s="38">
        <v>0</v>
      </c>
      <c r="K31" s="38">
        <v>0</v>
      </c>
      <c r="L31" s="38">
        <v>0</v>
      </c>
      <c r="M31" s="38">
        <v>0</v>
      </c>
      <c r="N31" s="38">
        <v>0</v>
      </c>
      <c r="O31" s="38">
        <v>0</v>
      </c>
      <c r="P31" s="38">
        <v>0</v>
      </c>
      <c r="Q31" s="38">
        <v>0</v>
      </c>
      <c r="R31" s="38">
        <v>0</v>
      </c>
      <c r="S31" s="38">
        <v>0</v>
      </c>
      <c r="T31" s="38">
        <v>0</v>
      </c>
      <c r="U31" s="38">
        <v>-48746</v>
      </c>
      <c r="V31" s="38">
        <v>-48746</v>
      </c>
      <c r="W31" s="38">
        <v>-48746</v>
      </c>
      <c r="X31" s="38">
        <v>-48746</v>
      </c>
      <c r="Y31" s="38">
        <v>-194984</v>
      </c>
      <c r="Z31" s="38">
        <v>-194984</v>
      </c>
      <c r="AA31" s="38">
        <v>-48746</v>
      </c>
      <c r="AB31" s="39">
        <v>-48746</v>
      </c>
      <c r="AC31" s="39">
        <v>-48746</v>
      </c>
      <c r="AD31" s="39">
        <v>-48746</v>
      </c>
      <c r="AE31" s="39">
        <v>-194984</v>
      </c>
      <c r="AF31" s="39">
        <v>-194984</v>
      </c>
      <c r="AG31" s="38">
        <v>-48746</v>
      </c>
      <c r="AH31" s="38">
        <v>-48746</v>
      </c>
      <c r="AI31" s="39">
        <v>-48746</v>
      </c>
      <c r="AJ31" s="39">
        <v>-48746</v>
      </c>
      <c r="AK31" s="39">
        <v>-194984</v>
      </c>
      <c r="AL31" s="39">
        <v>-194984</v>
      </c>
      <c r="AM31" s="38">
        <v>-48746</v>
      </c>
      <c r="AN31" s="38">
        <v>-48746</v>
      </c>
      <c r="AO31" s="39">
        <v>-48746</v>
      </c>
      <c r="AP31" s="39">
        <v>-48746</v>
      </c>
      <c r="AQ31" s="39">
        <v>-194984</v>
      </c>
      <c r="AR31" s="39">
        <v>-194984</v>
      </c>
      <c r="AS31" s="39">
        <v>-48745.922579999999</v>
      </c>
      <c r="AT31" s="39">
        <v>-48745.922579999999</v>
      </c>
      <c r="AU31" s="39">
        <v>-48745.922579999999</v>
      </c>
      <c r="AV31" s="39">
        <v>-25546</v>
      </c>
      <c r="AW31" s="39">
        <v>-171783.76773999998</v>
      </c>
      <c r="AX31" s="36">
        <v>-171783.76773999998</v>
      </c>
      <c r="AY31" s="36">
        <v>-25546</v>
      </c>
      <c r="AZ31" s="36">
        <v>-25546</v>
      </c>
      <c r="BA31" s="36">
        <v>-25544</v>
      </c>
      <c r="BB31" s="39">
        <v>-25548</v>
      </c>
      <c r="BC31" s="39">
        <v>-102184</v>
      </c>
      <c r="BD31" s="36">
        <v>-108184</v>
      </c>
      <c r="BE31" s="36">
        <v>-25546</v>
      </c>
      <c r="BF31" s="36">
        <v>-25546</v>
      </c>
      <c r="BG31" s="36">
        <v>-25546</v>
      </c>
      <c r="BH31" s="39">
        <f>'[3]ER dic 20'!$I$32</f>
        <v>-25546</v>
      </c>
      <c r="BI31" s="39">
        <f t="shared" si="23"/>
        <v>-102184</v>
      </c>
      <c r="BJ31" s="36">
        <v>-102184</v>
      </c>
      <c r="BK31" s="36">
        <v>-25546</v>
      </c>
      <c r="BL31" s="36">
        <v>-25546</v>
      </c>
      <c r="BM31" s="36">
        <v>-25546</v>
      </c>
      <c r="BN31" s="36">
        <v>-25546</v>
      </c>
      <c r="BO31" s="39">
        <f t="shared" si="24"/>
        <v>-102184</v>
      </c>
      <c r="BP31" s="36">
        <v>-102184</v>
      </c>
      <c r="BQ31" s="36">
        <v>-25546</v>
      </c>
      <c r="BR31" s="36">
        <v>-25546</v>
      </c>
      <c r="BS31" s="36">
        <v>-25546</v>
      </c>
      <c r="BT31" s="36">
        <v>-25546</v>
      </c>
      <c r="BU31" s="39">
        <f t="shared" si="30"/>
        <v>-102184</v>
      </c>
      <c r="BV31" s="36">
        <v>-102184</v>
      </c>
      <c r="BW31" s="36">
        <v>-25546</v>
      </c>
      <c r="BX31" s="36">
        <v>-25546</v>
      </c>
      <c r="BY31" s="36">
        <v>-25546</v>
      </c>
      <c r="BZ31" s="36">
        <v>-25546</v>
      </c>
      <c r="CA31" s="39">
        <f t="shared" si="31"/>
        <v>-102184</v>
      </c>
      <c r="CB31" s="39">
        <f t="shared" si="29"/>
        <v>-102184</v>
      </c>
      <c r="CC31" s="36">
        <v>-25546</v>
      </c>
      <c r="CD31" s="36">
        <v>-25546</v>
      </c>
      <c r="CE31" s="36">
        <v>-25546</v>
      </c>
      <c r="CF31" s="36">
        <v>-25546</v>
      </c>
      <c r="CG31" s="39">
        <f t="shared" si="27"/>
        <v>-102184</v>
      </c>
      <c r="CH31" s="39">
        <v>-102184</v>
      </c>
      <c r="CI31" s="36">
        <v>-25546</v>
      </c>
      <c r="CJ31" s="36">
        <v>-25546</v>
      </c>
      <c r="CK31" s="36">
        <v>-25546</v>
      </c>
      <c r="CL31" s="36">
        <v>-25546</v>
      </c>
      <c r="CM31" s="39">
        <f t="shared" si="28"/>
        <v>-102184</v>
      </c>
    </row>
    <row r="32" spans="2:91" ht="12" x14ac:dyDescent="0.3">
      <c r="B32" s="23" t="s">
        <v>76</v>
      </c>
      <c r="C32" s="63">
        <v>0</v>
      </c>
      <c r="D32" s="38">
        <v>0</v>
      </c>
      <c r="E32" s="38">
        <v>0</v>
      </c>
      <c r="F32" s="38">
        <v>0</v>
      </c>
      <c r="G32" s="38">
        <v>0</v>
      </c>
      <c r="H32" s="38">
        <v>0</v>
      </c>
      <c r="I32" s="38">
        <v>0</v>
      </c>
      <c r="J32" s="38">
        <v>0</v>
      </c>
      <c r="K32" s="38">
        <v>0</v>
      </c>
      <c r="L32" s="38">
        <v>0</v>
      </c>
      <c r="M32" s="38">
        <v>0</v>
      </c>
      <c r="N32" s="38">
        <v>0</v>
      </c>
      <c r="O32" s="38">
        <v>0</v>
      </c>
      <c r="P32" s="38">
        <v>0</v>
      </c>
      <c r="Q32" s="38">
        <v>0</v>
      </c>
      <c r="R32" s="38">
        <v>0</v>
      </c>
      <c r="S32" s="38">
        <v>0</v>
      </c>
      <c r="T32" s="38">
        <v>0</v>
      </c>
      <c r="U32" s="38">
        <v>-55649</v>
      </c>
      <c r="V32" s="38">
        <v>-86845</v>
      </c>
      <c r="W32" s="38">
        <v>-11209</v>
      </c>
      <c r="X32" s="38">
        <v>-12842</v>
      </c>
      <c r="Y32" s="38">
        <v>-166545</v>
      </c>
      <c r="Z32" s="38">
        <v>-166545</v>
      </c>
      <c r="AA32" s="38">
        <v>-14391</v>
      </c>
      <c r="AB32" s="39">
        <v>-15725</v>
      </c>
      <c r="AC32" s="39">
        <v>-19682</v>
      </c>
      <c r="AD32" s="39">
        <v>-32069</v>
      </c>
      <c r="AE32" s="39">
        <v>-81867</v>
      </c>
      <c r="AF32" s="39">
        <v>-81867</v>
      </c>
      <c r="AG32" s="38">
        <v>-20648</v>
      </c>
      <c r="AH32" s="38">
        <v>-39357</v>
      </c>
      <c r="AI32" s="39">
        <v>-38241</v>
      </c>
      <c r="AJ32" s="39">
        <v>-35333</v>
      </c>
      <c r="AK32" s="39">
        <v>-133579</v>
      </c>
      <c r="AL32" s="39">
        <v>-133579</v>
      </c>
      <c r="AM32" s="38">
        <v>-32458</v>
      </c>
      <c r="AN32" s="38">
        <v>-32517</v>
      </c>
      <c r="AO32" s="39">
        <v>-40491</v>
      </c>
      <c r="AP32" s="39">
        <v>-81558</v>
      </c>
      <c r="AQ32" s="39">
        <v>-187024</v>
      </c>
      <c r="AR32" s="39">
        <v>-187024</v>
      </c>
      <c r="AS32" s="39">
        <v>-37660.383740000005</v>
      </c>
      <c r="AT32" s="36">
        <v>-26471</v>
      </c>
      <c r="AU32" s="36">
        <v>-165826</v>
      </c>
      <c r="AV32" s="36">
        <v>-37623</v>
      </c>
      <c r="AW32" s="39">
        <v>-267580.38374000002</v>
      </c>
      <c r="AX32" s="36">
        <v>-267580.38374000002</v>
      </c>
      <c r="AY32" s="36">
        <v>-41591</v>
      </c>
      <c r="AZ32" s="36">
        <v>-58814</v>
      </c>
      <c r="BA32" s="36">
        <v>-43623</v>
      </c>
      <c r="BB32" s="36">
        <v>-51313</v>
      </c>
      <c r="BC32" s="39">
        <v>-195341</v>
      </c>
      <c r="BD32" s="36">
        <v>-195341</v>
      </c>
      <c r="BE32" s="36">
        <v>-83017</v>
      </c>
      <c r="BF32" s="36">
        <v>-29189</v>
      </c>
      <c r="BG32" s="36">
        <v>-36712</v>
      </c>
      <c r="BH32" s="36">
        <f>'[3]ER dic 20'!$I$33</f>
        <v>-80152</v>
      </c>
      <c r="BI32" s="39">
        <f t="shared" si="23"/>
        <v>-229070</v>
      </c>
      <c r="BJ32" s="36">
        <v>-229070</v>
      </c>
      <c r="BK32" s="36">
        <v>-50846</v>
      </c>
      <c r="BL32" s="36">
        <v>-51940</v>
      </c>
      <c r="BM32" s="36">
        <v>-56793</v>
      </c>
      <c r="BN32" s="36">
        <v>-60279</v>
      </c>
      <c r="BO32" s="39">
        <f t="shared" si="24"/>
        <v>-219858</v>
      </c>
      <c r="BP32" s="36">
        <v>-219858</v>
      </c>
      <c r="BQ32" s="36">
        <v>-59218</v>
      </c>
      <c r="BR32" s="36">
        <v>-60627</v>
      </c>
      <c r="BS32" s="36">
        <v>-59866</v>
      </c>
      <c r="BT32" s="36">
        <v>-58979</v>
      </c>
      <c r="BU32" s="39">
        <f t="shared" si="30"/>
        <v>-238690</v>
      </c>
      <c r="BV32" s="36">
        <v>-238690</v>
      </c>
      <c r="BW32" s="36">
        <v>-60974</v>
      </c>
      <c r="BX32" s="36">
        <v>-60807</v>
      </c>
      <c r="BY32" s="36">
        <v>-64278</v>
      </c>
      <c r="BZ32" s="36">
        <v>-61864</v>
      </c>
      <c r="CA32" s="39">
        <f t="shared" si="31"/>
        <v>-247923</v>
      </c>
      <c r="CB32" s="39">
        <f t="shared" si="29"/>
        <v>-247923</v>
      </c>
      <c r="CC32" s="36">
        <v>-61771</v>
      </c>
      <c r="CD32" s="36">
        <v>-61428</v>
      </c>
      <c r="CE32" s="36">
        <v>-60202</v>
      </c>
      <c r="CF32" s="36">
        <v>-18466</v>
      </c>
      <c r="CG32" s="39">
        <f t="shared" si="27"/>
        <v>-201867</v>
      </c>
      <c r="CH32" s="39">
        <v>-201867</v>
      </c>
      <c r="CI32" s="36">
        <v>-132760</v>
      </c>
      <c r="CJ32" s="36">
        <v>-55002</v>
      </c>
      <c r="CK32" s="36">
        <v>-62815</v>
      </c>
      <c r="CL32" s="36">
        <v>-120690</v>
      </c>
      <c r="CM32" s="39">
        <f t="shared" si="28"/>
        <v>-371267</v>
      </c>
    </row>
    <row r="33" spans="2:91" ht="12" x14ac:dyDescent="0.3">
      <c r="B33" s="23" t="s">
        <v>77</v>
      </c>
      <c r="C33" s="63"/>
      <c r="D33" s="38"/>
      <c r="E33" s="38"/>
      <c r="F33" s="38"/>
      <c r="G33" s="38"/>
      <c r="H33" s="38"/>
      <c r="I33" s="38"/>
      <c r="J33" s="38"/>
      <c r="K33" s="38"/>
      <c r="L33" s="38"/>
      <c r="M33" s="38"/>
      <c r="N33" s="38"/>
      <c r="O33" s="38"/>
      <c r="P33" s="38"/>
      <c r="Q33" s="38"/>
      <c r="R33" s="38"/>
      <c r="S33" s="38"/>
      <c r="T33" s="38"/>
      <c r="U33" s="38"/>
      <c r="V33" s="38"/>
      <c r="W33" s="38"/>
      <c r="X33" s="38"/>
      <c r="Y33" s="38"/>
      <c r="Z33" s="38"/>
      <c r="AA33" s="38"/>
      <c r="AB33" s="39"/>
      <c r="AC33" s="39"/>
      <c r="AD33" s="39"/>
      <c r="AE33" s="39"/>
      <c r="AF33" s="39"/>
      <c r="AG33" s="38"/>
      <c r="AH33" s="38"/>
      <c r="AI33" s="39"/>
      <c r="AJ33" s="39">
        <v>2152191</v>
      </c>
      <c r="AK33" s="39">
        <v>2152191</v>
      </c>
      <c r="AL33" s="39">
        <v>2152191</v>
      </c>
      <c r="AM33" s="38"/>
      <c r="AN33" s="38"/>
      <c r="AO33" s="39"/>
      <c r="AP33" s="39">
        <v>-355954</v>
      </c>
      <c r="AQ33" s="39">
        <v>-355954</v>
      </c>
      <c r="AR33" s="39">
        <v>-355954</v>
      </c>
      <c r="AS33" s="39">
        <v>-154382</v>
      </c>
      <c r="AT33" s="36"/>
      <c r="AU33" s="36"/>
      <c r="AV33" s="36">
        <v>-287513</v>
      </c>
      <c r="AW33" s="39">
        <v>-441895</v>
      </c>
      <c r="AX33" s="36">
        <v>-441895</v>
      </c>
      <c r="AY33" s="36">
        <v>-257514</v>
      </c>
      <c r="AZ33" s="36"/>
      <c r="BA33" s="36"/>
      <c r="BB33" s="36"/>
      <c r="BC33" s="39"/>
      <c r="BD33" s="36">
        <v>0</v>
      </c>
      <c r="BE33" s="36"/>
      <c r="BF33" s="36"/>
      <c r="BG33" s="36"/>
      <c r="BH33" s="36"/>
      <c r="BI33" s="39">
        <f t="shared" si="23"/>
        <v>0</v>
      </c>
      <c r="BJ33" s="36">
        <v>0</v>
      </c>
      <c r="BK33" s="36"/>
      <c r="BL33" s="36"/>
      <c r="BM33" s="36"/>
      <c r="BN33" s="36"/>
      <c r="BO33" s="39">
        <f t="shared" si="24"/>
        <v>0</v>
      </c>
      <c r="BP33" s="36">
        <v>0</v>
      </c>
      <c r="BQ33" s="36">
        <v>0</v>
      </c>
      <c r="BR33" s="36">
        <v>0</v>
      </c>
      <c r="BS33" s="36">
        <v>0</v>
      </c>
      <c r="BT33" s="36">
        <v>0</v>
      </c>
      <c r="BU33" s="39">
        <f>SUM(BQ33:BT33)</f>
        <v>0</v>
      </c>
      <c r="BV33" s="36">
        <v>0</v>
      </c>
      <c r="BW33" s="36">
        <v>0</v>
      </c>
      <c r="BX33" s="36">
        <v>0</v>
      </c>
      <c r="BY33" s="36">
        <v>0</v>
      </c>
      <c r="BZ33" s="36">
        <v>0</v>
      </c>
      <c r="CA33" s="39">
        <f>SUM(BW33:BZ33)</f>
        <v>0</v>
      </c>
      <c r="CB33" s="39">
        <f t="shared" si="29"/>
        <v>0</v>
      </c>
      <c r="CC33" s="36">
        <v>0</v>
      </c>
      <c r="CD33" s="36">
        <v>0</v>
      </c>
      <c r="CE33" s="36">
        <v>0</v>
      </c>
      <c r="CF33" s="36">
        <v>0</v>
      </c>
      <c r="CG33" s="39">
        <f t="shared" si="27"/>
        <v>0</v>
      </c>
      <c r="CH33" s="39">
        <v>0</v>
      </c>
      <c r="CI33" s="36">
        <v>0</v>
      </c>
      <c r="CJ33" s="36">
        <v>0</v>
      </c>
      <c r="CK33" s="36">
        <v>0</v>
      </c>
      <c r="CL33" s="36">
        <v>0</v>
      </c>
      <c r="CM33" s="39">
        <f t="shared" si="28"/>
        <v>0</v>
      </c>
    </row>
    <row r="34" spans="2:91" ht="12" x14ac:dyDescent="0.3">
      <c r="B34" s="23" t="s">
        <v>78</v>
      </c>
      <c r="C34" s="63">
        <v>0</v>
      </c>
      <c r="D34" s="38">
        <v>0</v>
      </c>
      <c r="E34" s="38">
        <v>0</v>
      </c>
      <c r="F34" s="38">
        <v>0</v>
      </c>
      <c r="G34" s="38">
        <v>0</v>
      </c>
      <c r="H34" s="38">
        <v>0</v>
      </c>
      <c r="I34" s="38">
        <v>0</v>
      </c>
      <c r="J34" s="38">
        <v>0</v>
      </c>
      <c r="K34" s="38">
        <v>0</v>
      </c>
      <c r="L34" s="38">
        <v>0</v>
      </c>
      <c r="M34" s="38">
        <v>0</v>
      </c>
      <c r="N34" s="38">
        <v>0</v>
      </c>
      <c r="O34" s="38">
        <v>0</v>
      </c>
      <c r="P34" s="38">
        <v>0</v>
      </c>
      <c r="Q34" s="38">
        <v>0</v>
      </c>
      <c r="R34" s="38">
        <v>0</v>
      </c>
      <c r="S34" s="38">
        <v>0</v>
      </c>
      <c r="T34" s="38">
        <v>0</v>
      </c>
      <c r="U34" s="38">
        <v>0</v>
      </c>
      <c r="V34" s="38">
        <v>-368839</v>
      </c>
      <c r="W34" s="38">
        <v>-51877</v>
      </c>
      <c r="X34" s="38">
        <v>-109564</v>
      </c>
      <c r="Y34" s="38">
        <v>-530280</v>
      </c>
      <c r="Z34" s="38">
        <v>-530280</v>
      </c>
      <c r="AA34" s="38">
        <v>-164621</v>
      </c>
      <c r="AB34" s="39">
        <v>-27497</v>
      </c>
      <c r="AC34" s="39">
        <v>-77522</v>
      </c>
      <c r="AD34" s="39">
        <v>-318152</v>
      </c>
      <c r="AE34" s="39">
        <v>-587792</v>
      </c>
      <c r="AF34" s="39">
        <v>-587792</v>
      </c>
      <c r="AG34" s="38">
        <v>-124338</v>
      </c>
      <c r="AH34" s="38">
        <v>-116288</v>
      </c>
      <c r="AI34" s="39">
        <v>-88362</v>
      </c>
      <c r="AJ34" s="39">
        <v>158991</v>
      </c>
      <c r="AK34" s="39">
        <v>-169997</v>
      </c>
      <c r="AL34" s="39">
        <v>-169997</v>
      </c>
      <c r="AM34" s="38">
        <v>-50000</v>
      </c>
      <c r="AN34" s="38">
        <v>-39693</v>
      </c>
      <c r="AO34" s="39">
        <v>-26462</v>
      </c>
      <c r="AP34" s="39">
        <v>21187</v>
      </c>
      <c r="AQ34" s="39">
        <v>-94968</v>
      </c>
      <c r="AR34" s="39">
        <v>-94968</v>
      </c>
      <c r="AS34" s="39">
        <v>-23742</v>
      </c>
      <c r="AT34" s="36">
        <v>-124093</v>
      </c>
      <c r="AU34" s="36">
        <v>-155065</v>
      </c>
      <c r="AV34" s="36">
        <v>-260588</v>
      </c>
      <c r="AW34" s="39">
        <v>-563488</v>
      </c>
      <c r="AX34" s="36">
        <v>-563488</v>
      </c>
      <c r="AY34" s="36">
        <v>-107900</v>
      </c>
      <c r="AZ34" s="36">
        <v>-107426</v>
      </c>
      <c r="BA34" s="36">
        <v>-244759</v>
      </c>
      <c r="BB34" s="39">
        <v>-142014</v>
      </c>
      <c r="BC34" s="39">
        <v>-602099</v>
      </c>
      <c r="BD34" s="36">
        <v>-602099</v>
      </c>
      <c r="BE34" s="36">
        <v>-62000</v>
      </c>
      <c r="BF34" s="36">
        <v>32376</v>
      </c>
      <c r="BG34" s="36">
        <v>-13052</v>
      </c>
      <c r="BH34" s="39">
        <f>'[3]ER dic 20'!$I$37</f>
        <v>-30652</v>
      </c>
      <c r="BI34" s="39">
        <f t="shared" si="23"/>
        <v>-73328</v>
      </c>
      <c r="BJ34" s="36">
        <v>-73328</v>
      </c>
      <c r="BK34" s="36">
        <v>-81750</v>
      </c>
      <c r="BL34" s="36">
        <v>-69000</v>
      </c>
      <c r="BM34" s="36">
        <v>-69000</v>
      </c>
      <c r="BN34" s="36">
        <v>-138550</v>
      </c>
      <c r="BO34" s="39">
        <f t="shared" si="24"/>
        <v>-358300</v>
      </c>
      <c r="BP34" s="36">
        <v>-358300</v>
      </c>
      <c r="BQ34" s="36">
        <v>-89575</v>
      </c>
      <c r="BR34" s="36">
        <v>-55625</v>
      </c>
      <c r="BS34" s="23">
        <v>-72599.999999999985</v>
      </c>
      <c r="BT34" s="36">
        <v>-425400</v>
      </c>
      <c r="BU34" s="39">
        <f t="shared" si="30"/>
        <v>-643200</v>
      </c>
      <c r="BV34" s="36">
        <v>-643200</v>
      </c>
      <c r="BW34" s="36">
        <v>-103500</v>
      </c>
      <c r="BX34" s="36">
        <v>-103500</v>
      </c>
      <c r="BY34" s="36">
        <v>-34425</v>
      </c>
      <c r="BZ34" s="36">
        <v>-80475</v>
      </c>
      <c r="CA34" s="39">
        <f t="shared" ref="CA34:CA35" si="32">SUM(BW34:BZ34)</f>
        <v>-321900</v>
      </c>
      <c r="CB34" s="39">
        <f t="shared" si="29"/>
        <v>-321900</v>
      </c>
      <c r="CC34" s="36">
        <v>0</v>
      </c>
      <c r="CD34" s="36">
        <v>-128382</v>
      </c>
      <c r="CE34" s="36">
        <v>-64191</v>
      </c>
      <c r="CF34" s="36">
        <v>82131</v>
      </c>
      <c r="CG34" s="39">
        <f t="shared" si="27"/>
        <v>-110442</v>
      </c>
      <c r="CH34" s="39">
        <v>-110442</v>
      </c>
      <c r="CI34" s="36">
        <v>-27610</v>
      </c>
      <c r="CJ34" s="36">
        <v>-27611</v>
      </c>
      <c r="CK34" s="36">
        <v>-27610</v>
      </c>
      <c r="CL34" s="36">
        <v>-677584</v>
      </c>
      <c r="CM34" s="39">
        <f t="shared" si="28"/>
        <v>-760415</v>
      </c>
    </row>
    <row r="35" spans="2:91" ht="22.5" customHeight="1" x14ac:dyDescent="0.3">
      <c r="B35" s="68" t="s">
        <v>79</v>
      </c>
      <c r="C35" s="63">
        <v>0</v>
      </c>
      <c r="D35" s="38">
        <v>0</v>
      </c>
      <c r="E35" s="38">
        <v>0</v>
      </c>
      <c r="F35" s="38">
        <v>0</v>
      </c>
      <c r="G35" s="38"/>
      <c r="H35" s="38">
        <v>-18.548999999999999</v>
      </c>
      <c r="I35" s="38">
        <v>0</v>
      </c>
      <c r="J35" s="38">
        <v>0</v>
      </c>
      <c r="K35" s="38">
        <v>0</v>
      </c>
      <c r="L35" s="38">
        <v>41062</v>
      </c>
      <c r="M35" s="38">
        <v>41062</v>
      </c>
      <c r="N35" s="38">
        <v>41062</v>
      </c>
      <c r="O35" s="38">
        <v>0</v>
      </c>
      <c r="P35" s="38">
        <v>0</v>
      </c>
      <c r="Q35" s="38">
        <v>0</v>
      </c>
      <c r="R35" s="38">
        <v>-1491323</v>
      </c>
      <c r="S35" s="38">
        <v>-1491323</v>
      </c>
      <c r="T35" s="38">
        <v>-1491323</v>
      </c>
      <c r="U35" s="38">
        <v>0</v>
      </c>
      <c r="V35" s="38">
        <v>0</v>
      </c>
      <c r="W35" s="38"/>
      <c r="X35" s="38">
        <v>0</v>
      </c>
      <c r="Y35" s="38">
        <v>0</v>
      </c>
      <c r="Z35" s="38">
        <v>0</v>
      </c>
      <c r="AA35" s="38">
        <v>0</v>
      </c>
      <c r="AB35" s="39">
        <v>0</v>
      </c>
      <c r="AC35" s="39">
        <v>0</v>
      </c>
      <c r="AD35" s="39">
        <v>0</v>
      </c>
      <c r="AE35" s="39">
        <v>0</v>
      </c>
      <c r="AF35" s="39">
        <v>0</v>
      </c>
      <c r="AG35" s="38">
        <v>0</v>
      </c>
      <c r="AH35" s="38">
        <v>0</v>
      </c>
      <c r="AI35" s="39">
        <v>0</v>
      </c>
      <c r="AJ35" s="39">
        <v>0</v>
      </c>
      <c r="AK35" s="39">
        <v>0</v>
      </c>
      <c r="AL35" s="39">
        <v>0</v>
      </c>
      <c r="AM35" s="38">
        <v>-6304</v>
      </c>
      <c r="AN35" s="38">
        <v>0</v>
      </c>
      <c r="AO35" s="39">
        <v>0</v>
      </c>
      <c r="AP35" s="39">
        <v>0</v>
      </c>
      <c r="AQ35" s="39">
        <v>-6304</v>
      </c>
      <c r="AR35" s="39">
        <v>-6304</v>
      </c>
      <c r="AS35" s="39"/>
      <c r="AT35" s="36"/>
      <c r="AU35" s="36"/>
      <c r="AV35" s="36"/>
      <c r="AW35" s="39"/>
      <c r="AX35" s="36"/>
      <c r="AY35" s="36">
        <v>-143473</v>
      </c>
      <c r="AZ35" s="36">
        <v>-72841</v>
      </c>
      <c r="BA35" s="36">
        <v>0</v>
      </c>
      <c r="BB35" s="36">
        <v>-58229</v>
      </c>
      <c r="BC35" s="39">
        <v>-274543</v>
      </c>
      <c r="BD35" s="36">
        <v>-274543</v>
      </c>
      <c r="BE35" s="36">
        <v>8352</v>
      </c>
      <c r="BF35" s="36">
        <v>0</v>
      </c>
      <c r="BG35" s="36">
        <v>-65848</v>
      </c>
      <c r="BH35" s="36">
        <f>'[3]ER dic 20'!$I$36</f>
        <v>-27729</v>
      </c>
      <c r="BI35" s="39">
        <f t="shared" si="23"/>
        <v>-85225</v>
      </c>
      <c r="BJ35" s="36">
        <v>-85225</v>
      </c>
      <c r="BK35" s="36">
        <v>-38300</v>
      </c>
      <c r="BL35" s="36">
        <v>48286</v>
      </c>
      <c r="BM35" s="36">
        <v>-10921</v>
      </c>
      <c r="BN35" s="36">
        <v>-57762</v>
      </c>
      <c r="BO35" s="39">
        <f t="shared" si="24"/>
        <v>-58697</v>
      </c>
      <c r="BP35" s="36">
        <v>-58697</v>
      </c>
      <c r="BQ35" s="36">
        <v>-52944</v>
      </c>
      <c r="BR35" s="36">
        <v>-52637</v>
      </c>
      <c r="BS35" s="36">
        <v>13203</v>
      </c>
      <c r="BT35" s="36">
        <v>-1448</v>
      </c>
      <c r="BU35" s="39">
        <f t="shared" si="30"/>
        <v>-93826</v>
      </c>
      <c r="BV35" s="36">
        <v>-93827</v>
      </c>
      <c r="BW35" s="36">
        <v>-1361</v>
      </c>
      <c r="BX35" s="36">
        <v>-176919</v>
      </c>
      <c r="BY35" s="36">
        <v>202888</v>
      </c>
      <c r="BZ35" s="36">
        <v>-638</v>
      </c>
      <c r="CA35" s="39">
        <f t="shared" si="32"/>
        <v>23970</v>
      </c>
      <c r="CB35" s="39">
        <f t="shared" si="29"/>
        <v>23970</v>
      </c>
      <c r="CC35" s="36">
        <v>-1872</v>
      </c>
      <c r="CD35" s="36">
        <v>3073</v>
      </c>
      <c r="CE35" s="36">
        <v>-7367</v>
      </c>
      <c r="CF35" s="36">
        <v>-26690</v>
      </c>
      <c r="CG35" s="39">
        <f t="shared" si="27"/>
        <v>-32856</v>
      </c>
      <c r="CH35" s="39">
        <v>-32856</v>
      </c>
      <c r="CI35" s="36">
        <v>-2736</v>
      </c>
      <c r="CJ35" s="36">
        <v>-31769</v>
      </c>
      <c r="CK35" s="36">
        <v>264</v>
      </c>
      <c r="CL35" s="36">
        <v>1174</v>
      </c>
      <c r="CM35" s="39">
        <f t="shared" si="28"/>
        <v>-33067</v>
      </c>
    </row>
    <row r="36" spans="2:91" s="51" customFormat="1" ht="3" customHeight="1" x14ac:dyDescent="0.3">
      <c r="C36" s="64"/>
      <c r="D36" s="37"/>
      <c r="E36" s="37"/>
      <c r="F36" s="37"/>
      <c r="G36" s="37"/>
      <c r="H36" s="37"/>
      <c r="I36" s="37"/>
      <c r="J36" s="37"/>
      <c r="K36" s="37"/>
      <c r="L36" s="37"/>
      <c r="M36" s="37"/>
      <c r="N36" s="37"/>
      <c r="O36" s="37"/>
      <c r="P36" s="37"/>
      <c r="Q36" s="37"/>
      <c r="R36" s="37"/>
      <c r="S36" s="37"/>
      <c r="T36" s="37"/>
      <c r="U36" s="37"/>
      <c r="V36" s="37"/>
      <c r="W36" s="37"/>
      <c r="X36" s="37"/>
      <c r="Y36" s="37"/>
      <c r="Z36" s="37"/>
      <c r="AA36" s="37"/>
      <c r="AB36" s="69"/>
      <c r="AC36" s="69"/>
      <c r="AD36" s="69"/>
      <c r="AE36" s="69"/>
      <c r="AF36" s="69"/>
      <c r="AG36" s="37"/>
      <c r="AH36" s="37"/>
      <c r="AI36" s="69"/>
      <c r="AJ36" s="69"/>
      <c r="AK36" s="69"/>
      <c r="AL36" s="69"/>
      <c r="AM36" s="37"/>
      <c r="AN36" s="37"/>
      <c r="AO36" s="69"/>
      <c r="AP36" s="69"/>
      <c r="AQ36" s="69"/>
      <c r="AR36" s="69"/>
      <c r="AS36" s="69"/>
      <c r="AT36" s="69"/>
      <c r="AU36" s="69"/>
      <c r="AV36" s="69"/>
      <c r="AW36" s="69"/>
      <c r="AX36" s="69"/>
      <c r="AY36" s="69"/>
      <c r="AZ36" s="69"/>
      <c r="BA36" s="69"/>
      <c r="BB36" s="69"/>
      <c r="BC36" s="69"/>
      <c r="BD36" s="69"/>
      <c r="BE36" s="69"/>
      <c r="BF36" s="69"/>
      <c r="BG36" s="69"/>
      <c r="BH36" s="69"/>
      <c r="BI36" s="69"/>
      <c r="BJ36" s="69"/>
      <c r="BK36" s="69"/>
      <c r="BL36" s="69"/>
      <c r="BM36" s="69"/>
      <c r="BN36" s="69"/>
      <c r="BO36" s="69"/>
      <c r="BP36" s="69"/>
      <c r="BQ36" s="69"/>
      <c r="BR36" s="69"/>
      <c r="BS36" s="69"/>
      <c r="BT36" s="69"/>
      <c r="BU36" s="69"/>
      <c r="BV36" s="69"/>
      <c r="BW36" s="69"/>
      <c r="BX36" s="69"/>
      <c r="BY36" s="69"/>
      <c r="BZ36" s="69"/>
      <c r="CA36" s="69"/>
      <c r="CB36" s="69"/>
      <c r="CC36" s="69"/>
      <c r="CD36" s="69"/>
      <c r="CE36" s="69"/>
      <c r="CF36" s="69"/>
      <c r="CG36" s="69"/>
      <c r="CH36" s="69"/>
      <c r="CI36" s="69"/>
      <c r="CJ36" s="69"/>
      <c r="CK36" s="69"/>
      <c r="CL36" s="69"/>
      <c r="CM36" s="69"/>
    </row>
    <row r="37" spans="2:91" s="51" customFormat="1" ht="12" x14ac:dyDescent="0.3">
      <c r="B37" s="51" t="s">
        <v>382</v>
      </c>
      <c r="C37" s="70">
        <v>16761.296000000002</v>
      </c>
      <c r="D37" s="71">
        <v>108667.23300000001</v>
      </c>
      <c r="E37" s="71">
        <v>160841.48500000002</v>
      </c>
      <c r="F37" s="71">
        <v>128107.027</v>
      </c>
      <c r="G37" s="71">
        <v>415053.56400000001</v>
      </c>
      <c r="H37" s="113">
        <f>SUM(H23:H35)+H21+H14</f>
        <v>415053.56400000001</v>
      </c>
      <c r="I37" s="71">
        <v>142322</v>
      </c>
      <c r="J37" s="71">
        <v>304839</v>
      </c>
      <c r="K37" s="71">
        <v>588087</v>
      </c>
      <c r="L37" s="71">
        <v>239010</v>
      </c>
      <c r="M37" s="71">
        <v>1274258</v>
      </c>
      <c r="N37" s="113">
        <f>SUM(N23:N35)+N21+N14</f>
        <v>1274258</v>
      </c>
      <c r="O37" s="71">
        <v>844792</v>
      </c>
      <c r="P37" s="71">
        <v>425321</v>
      </c>
      <c r="Q37" s="71">
        <v>876868</v>
      </c>
      <c r="R37" s="71">
        <v>6928412</v>
      </c>
      <c r="S37" s="71">
        <v>9075393</v>
      </c>
      <c r="T37" s="113">
        <f>SUM(T23:T35)+T21+T14</f>
        <v>9075393</v>
      </c>
      <c r="U37" s="71">
        <v>1054544</v>
      </c>
      <c r="V37" s="71">
        <v>1722457</v>
      </c>
      <c r="W37" s="71">
        <v>660067</v>
      </c>
      <c r="X37" s="71">
        <v>2274017</v>
      </c>
      <c r="Y37" s="71">
        <v>5711085</v>
      </c>
      <c r="Z37" s="113">
        <f>SUM(Z23:Z35)+Z21+Z14</f>
        <v>5711085</v>
      </c>
      <c r="AA37" s="71">
        <v>1392952</v>
      </c>
      <c r="AB37" s="71">
        <v>1343496</v>
      </c>
      <c r="AC37" s="71">
        <v>236410</v>
      </c>
      <c r="AD37" s="71">
        <v>2761632</v>
      </c>
      <c r="AE37" s="113">
        <v>5734490</v>
      </c>
      <c r="AF37" s="113">
        <f>SUM(AF23:AF35)+AF21+AF14</f>
        <v>5734490</v>
      </c>
      <c r="AG37" s="71">
        <v>2769457</v>
      </c>
      <c r="AH37" s="71">
        <v>2345265</v>
      </c>
      <c r="AI37" s="71">
        <v>1320840</v>
      </c>
      <c r="AJ37" s="71">
        <v>5958350</v>
      </c>
      <c r="AK37" s="113">
        <v>12393912</v>
      </c>
      <c r="AL37" s="113">
        <f>SUM(AL23:AL35)+AL21+AL14</f>
        <v>12393912</v>
      </c>
      <c r="AM37" s="71">
        <v>5037184</v>
      </c>
      <c r="AN37" s="71">
        <v>3517708</v>
      </c>
      <c r="AO37" s="71">
        <v>2070901</v>
      </c>
      <c r="AP37" s="71">
        <v>1532387</v>
      </c>
      <c r="AQ37" s="113">
        <v>12158180</v>
      </c>
      <c r="AR37" s="113">
        <f>SUM(AR23:AR35)+AR21+AR14</f>
        <v>12158180</v>
      </c>
      <c r="AS37" s="71">
        <v>4819637.0167699996</v>
      </c>
      <c r="AT37" s="71">
        <v>862017.07741999999</v>
      </c>
      <c r="AU37" s="71">
        <v>4582872.07742</v>
      </c>
      <c r="AV37" s="71">
        <v>7006226</v>
      </c>
      <c r="AW37" s="113">
        <v>17270752.171609998</v>
      </c>
      <c r="AX37" s="113">
        <f>SUM(AX23:AX35)+AX21+AX14</f>
        <v>17270752.171609998</v>
      </c>
      <c r="AY37" s="71">
        <v>4263838</v>
      </c>
      <c r="AZ37" s="71">
        <v>5473456</v>
      </c>
      <c r="BA37" s="71">
        <v>1970228</v>
      </c>
      <c r="BB37" s="71">
        <v>7017488</v>
      </c>
      <c r="BC37" s="113">
        <v>18725010</v>
      </c>
      <c r="BD37" s="113">
        <f>SUM(BD23:BD35)+BD21+BD14</f>
        <v>18150318</v>
      </c>
      <c r="BE37" s="71">
        <v>-15059421</v>
      </c>
      <c r="BF37" s="71">
        <v>13357836</v>
      </c>
      <c r="BG37" s="71">
        <f>SUM(BG23:BG35)+BG21+BG14</f>
        <v>4539139</v>
      </c>
      <c r="BH37" s="71">
        <f>SUM(BH23:BH35)+BH21+BH14</f>
        <v>11121680</v>
      </c>
      <c r="BI37" s="113">
        <f>SUM(BE37:BH37)</f>
        <v>13959234</v>
      </c>
      <c r="BJ37" s="113">
        <f>SUM(BJ23:BJ35)+BJ21+BJ14</f>
        <v>13959234</v>
      </c>
      <c r="BK37" s="71">
        <f>SUM(BK23:BK35)+BK21+BK14</f>
        <v>-338466.72209999897</v>
      </c>
      <c r="BL37" s="71">
        <f>SUM(BL23:BL35)+BL21+BL14</f>
        <v>1519184</v>
      </c>
      <c r="BM37" s="71">
        <f>SUM(BM23:BM35)+BM21+BM14</f>
        <v>-538720</v>
      </c>
      <c r="BN37" s="71">
        <f>SUM(BN23:BN35)+BN21+BN14</f>
        <v>3368007</v>
      </c>
      <c r="BO37" s="113">
        <f>SUM(BK37:BN37)</f>
        <v>4010004.277900001</v>
      </c>
      <c r="BP37" s="113">
        <f t="shared" ref="BP37:BQ37" si="33">SUM(BP23:BP35)+BP21+BP14</f>
        <v>4010004</v>
      </c>
      <c r="BQ37" s="71">
        <f t="shared" si="33"/>
        <v>4362438</v>
      </c>
      <c r="BR37" s="71">
        <f>SUM(BR23:BR35)+BR21+BR14</f>
        <v>2619820</v>
      </c>
      <c r="BS37" s="71">
        <f>SUM(BS23:BS35)+BS21+BS14</f>
        <v>4385796</v>
      </c>
      <c r="BT37" s="71">
        <f>SUM(BT23:BT35)+BT21+BT14</f>
        <v>12728835</v>
      </c>
      <c r="BU37" s="113">
        <f>SUM(BQ37:BT37)</f>
        <v>24096889</v>
      </c>
      <c r="BV37" s="113">
        <f t="shared" ref="BV37:BW37" si="34">SUM(BV23:BV35)+BV21+BV14</f>
        <v>24096888</v>
      </c>
      <c r="BW37" s="71">
        <f t="shared" si="34"/>
        <v>6669344</v>
      </c>
      <c r="BX37" s="71">
        <f>SUM(BX23:BX35)+BX21+BX14</f>
        <v>5683506</v>
      </c>
      <c r="BY37" s="71">
        <f>SUM(BY23:BY35)+BY21+BY14</f>
        <v>-73659</v>
      </c>
      <c r="BZ37" s="71">
        <f>SUM(BZ23:BZ35)+BZ21+BZ14</f>
        <v>6064874</v>
      </c>
      <c r="CA37" s="113">
        <f>SUM(BW37:BZ37)</f>
        <v>18344065</v>
      </c>
      <c r="CB37" s="113">
        <f>SUM(BW37:BZ37)</f>
        <v>18344065</v>
      </c>
      <c r="CC37" s="71">
        <f t="shared" ref="CC37:CM37" si="35">SUM(CC23:CC35)+CC21+CC14</f>
        <v>2769331</v>
      </c>
      <c r="CD37" s="71">
        <f t="shared" si="35"/>
        <v>4229006</v>
      </c>
      <c r="CE37" s="71">
        <f t="shared" si="35"/>
        <v>-1030436</v>
      </c>
      <c r="CF37" s="71">
        <f t="shared" si="35"/>
        <v>4039051</v>
      </c>
      <c r="CG37" s="71">
        <f t="shared" si="35"/>
        <v>10006952</v>
      </c>
      <c r="CH37" s="71">
        <f t="shared" si="35"/>
        <v>10006952</v>
      </c>
      <c r="CI37" s="71">
        <f t="shared" si="35"/>
        <v>1585692</v>
      </c>
      <c r="CJ37" s="71">
        <f t="shared" si="35"/>
        <v>5428050</v>
      </c>
      <c r="CK37" s="71">
        <f t="shared" si="35"/>
        <v>3711422</v>
      </c>
      <c r="CL37" s="71">
        <f t="shared" si="35"/>
        <v>16324159</v>
      </c>
      <c r="CM37" s="71">
        <f t="shared" si="35"/>
        <v>27049323</v>
      </c>
    </row>
    <row r="38" spans="2:91" s="51" customFormat="1" ht="36" x14ac:dyDescent="0.3">
      <c r="B38" s="68" t="s">
        <v>383</v>
      </c>
      <c r="C38" s="70"/>
      <c r="D38" s="71"/>
      <c r="E38" s="71"/>
      <c r="F38" s="71"/>
      <c r="H38" s="113"/>
      <c r="I38" s="71"/>
      <c r="J38" s="71"/>
      <c r="K38" s="71"/>
      <c r="L38" s="71"/>
      <c r="M38" s="71"/>
      <c r="N38" s="113"/>
      <c r="O38" s="71"/>
      <c r="P38" s="71"/>
      <c r="Q38" s="71"/>
      <c r="R38" s="71"/>
      <c r="S38" s="71"/>
      <c r="T38" s="113"/>
      <c r="U38" s="71"/>
      <c r="V38" s="71"/>
      <c r="W38" s="71"/>
      <c r="X38" s="71"/>
      <c r="Y38" s="71"/>
      <c r="Z38" s="113"/>
      <c r="AA38" s="71"/>
      <c r="AB38" s="71"/>
      <c r="AC38" s="71"/>
      <c r="AD38" s="71"/>
      <c r="AE38" s="113"/>
      <c r="AF38" s="113"/>
      <c r="AG38" s="71"/>
      <c r="AH38" s="71"/>
      <c r="AI38" s="71"/>
      <c r="AJ38" s="71"/>
      <c r="AK38" s="113"/>
      <c r="AL38" s="113"/>
      <c r="AM38" s="71"/>
      <c r="AN38" s="71"/>
      <c r="AO38" s="71"/>
      <c r="AP38" s="71"/>
      <c r="AQ38" s="113"/>
      <c r="AR38" s="113"/>
      <c r="AS38" s="71"/>
      <c r="AT38" s="71"/>
      <c r="AU38" s="71"/>
      <c r="AV38" s="71"/>
      <c r="AW38" s="113"/>
      <c r="AX38" s="113"/>
      <c r="AY38" s="71"/>
      <c r="AZ38" s="71"/>
      <c r="BA38" s="71"/>
      <c r="BB38" s="71"/>
      <c r="BC38" s="113"/>
      <c r="BD38" s="113"/>
      <c r="BE38" s="36">
        <v>-190047</v>
      </c>
      <c r="BF38" s="36">
        <v>-604764</v>
      </c>
      <c r="BG38" s="36">
        <v>290727</v>
      </c>
      <c r="BH38" s="36">
        <v>35842</v>
      </c>
      <c r="BI38" s="36">
        <v>-468243</v>
      </c>
      <c r="BJ38" s="36">
        <v>-468243</v>
      </c>
      <c r="BK38" s="36">
        <v>430363</v>
      </c>
      <c r="BL38" s="36">
        <v>279605</v>
      </c>
      <c r="BM38" s="36">
        <v>-661701</v>
      </c>
      <c r="BN38" s="36">
        <v>84781</v>
      </c>
      <c r="BO38" s="36">
        <v>133048</v>
      </c>
      <c r="BP38" s="36">
        <v>133048</v>
      </c>
      <c r="BQ38" s="36">
        <v>-211976</v>
      </c>
      <c r="BR38" s="36">
        <v>160666</v>
      </c>
      <c r="BS38" s="36">
        <v>-155176</v>
      </c>
      <c r="BT38" s="36">
        <v>-73382</v>
      </c>
      <c r="BU38" s="39">
        <f t="shared" si="30"/>
        <v>-279868</v>
      </c>
      <c r="BV38" s="36">
        <v>-279868</v>
      </c>
      <c r="BW38" s="36">
        <v>235974</v>
      </c>
      <c r="BX38" s="36">
        <v>159616</v>
      </c>
      <c r="BY38" s="36">
        <v>-648971</v>
      </c>
      <c r="BZ38" s="36">
        <v>473764</v>
      </c>
      <c r="CA38" s="39">
        <f t="shared" ref="CA38:CA39" si="36">SUM(BW38:BZ38)</f>
        <v>220383</v>
      </c>
      <c r="CB38" s="39">
        <f>SUM(BW38:BZ38)</f>
        <v>220383</v>
      </c>
      <c r="CC38" s="36">
        <v>-31002</v>
      </c>
      <c r="CD38" s="36">
        <v>-849703</v>
      </c>
      <c r="CE38" s="36">
        <v>-1133261</v>
      </c>
      <c r="CF38" s="36">
        <v>-438545</v>
      </c>
      <c r="CG38" s="39">
        <f t="shared" ref="CG38:CG39" si="37">SUM(CC38:CF38)</f>
        <v>-2452511</v>
      </c>
      <c r="CH38" s="39">
        <v>-2452511</v>
      </c>
      <c r="CI38" s="36">
        <v>120652</v>
      </c>
      <c r="CJ38" s="36">
        <v>1028461</v>
      </c>
      <c r="CK38" s="36">
        <v>540124</v>
      </c>
      <c r="CL38" s="36">
        <v>-3679</v>
      </c>
      <c r="CM38" s="39">
        <v>1889972</v>
      </c>
    </row>
    <row r="39" spans="2:91" s="51" customFormat="1" ht="36" x14ac:dyDescent="0.3">
      <c r="B39" s="68" t="s">
        <v>384</v>
      </c>
      <c r="C39" s="70"/>
      <c r="D39" s="71"/>
      <c r="E39" s="71"/>
      <c r="F39" s="71"/>
      <c r="H39" s="113"/>
      <c r="I39" s="71"/>
      <c r="J39" s="71"/>
      <c r="K39" s="71"/>
      <c r="L39" s="71"/>
      <c r="M39" s="71"/>
      <c r="N39" s="113"/>
      <c r="O39" s="71"/>
      <c r="P39" s="71"/>
      <c r="Q39" s="71"/>
      <c r="R39" s="71"/>
      <c r="S39" s="71"/>
      <c r="T39" s="113"/>
      <c r="U39" s="71"/>
      <c r="V39" s="71"/>
      <c r="W39" s="71"/>
      <c r="X39" s="71"/>
      <c r="Y39" s="71"/>
      <c r="Z39" s="113"/>
      <c r="AA39" s="71"/>
      <c r="AB39" s="71"/>
      <c r="AC39" s="71"/>
      <c r="AD39" s="71"/>
      <c r="AE39" s="113"/>
      <c r="AF39" s="113"/>
      <c r="AG39" s="71"/>
      <c r="AH39" s="71"/>
      <c r="AI39" s="71"/>
      <c r="AJ39" s="71"/>
      <c r="AK39" s="113"/>
      <c r="AL39" s="113"/>
      <c r="AM39" s="71"/>
      <c r="AN39" s="71"/>
      <c r="AO39" s="71"/>
      <c r="AP39" s="71"/>
      <c r="AQ39" s="113"/>
      <c r="AR39" s="113"/>
      <c r="AS39" s="71"/>
      <c r="AT39" s="71"/>
      <c r="AU39" s="71"/>
      <c r="AV39" s="71"/>
      <c r="AW39" s="113"/>
      <c r="AX39" s="113"/>
      <c r="AY39" s="71"/>
      <c r="AZ39" s="71"/>
      <c r="BA39" s="71"/>
      <c r="BB39" s="71"/>
      <c r="BC39" s="113"/>
      <c r="BD39" s="113"/>
      <c r="BE39" s="36"/>
      <c r="BF39" s="36"/>
      <c r="BG39" s="36"/>
      <c r="BH39" s="36"/>
      <c r="BI39" s="36"/>
      <c r="BJ39" s="36"/>
      <c r="BK39" s="36"/>
      <c r="BL39" s="36"/>
      <c r="BM39" s="36"/>
      <c r="BN39" s="36">
        <v>2984</v>
      </c>
      <c r="BO39" s="36">
        <v>2984</v>
      </c>
      <c r="BP39" s="36">
        <v>2984</v>
      </c>
      <c r="BQ39" s="36">
        <v>0</v>
      </c>
      <c r="BR39" s="36">
        <v>0</v>
      </c>
      <c r="BS39" s="36">
        <v>0</v>
      </c>
      <c r="BT39" s="36">
        <v>4596</v>
      </c>
      <c r="BU39" s="39">
        <f t="shared" si="30"/>
        <v>4596</v>
      </c>
      <c r="BV39" s="36">
        <v>4596</v>
      </c>
      <c r="BW39" s="36">
        <v>0</v>
      </c>
      <c r="BX39" s="36">
        <v>0</v>
      </c>
      <c r="BY39" s="36">
        <v>0</v>
      </c>
      <c r="BZ39" s="36">
        <v>-1253</v>
      </c>
      <c r="CA39" s="39">
        <f t="shared" si="36"/>
        <v>-1253</v>
      </c>
      <c r="CB39" s="39">
        <f>SUM(BW39:BZ39)</f>
        <v>-1253</v>
      </c>
      <c r="CC39" s="36">
        <v>0</v>
      </c>
      <c r="CD39" s="36">
        <v>0</v>
      </c>
      <c r="CE39" s="36">
        <v>0</v>
      </c>
      <c r="CF39" s="36">
        <v>8092</v>
      </c>
      <c r="CG39" s="39">
        <f t="shared" si="37"/>
        <v>8092</v>
      </c>
      <c r="CH39" s="39">
        <v>8092</v>
      </c>
      <c r="CI39" s="36">
        <v>0</v>
      </c>
      <c r="CJ39" s="36">
        <v>0</v>
      </c>
      <c r="CK39" s="36">
        <v>0</v>
      </c>
      <c r="CL39" s="36">
        <v>-6453</v>
      </c>
      <c r="CM39" s="39">
        <f t="shared" ref="CM39" si="38">SUM(CI39:CL39)</f>
        <v>-6453</v>
      </c>
    </row>
    <row r="40" spans="2:91" s="51" customFormat="1" ht="12" x14ac:dyDescent="0.3">
      <c r="B40" s="51" t="s">
        <v>385</v>
      </c>
      <c r="C40" s="70"/>
      <c r="D40" s="71"/>
      <c r="E40" s="71"/>
      <c r="F40" s="71"/>
      <c r="H40" s="113"/>
      <c r="I40" s="71"/>
      <c r="J40" s="71"/>
      <c r="K40" s="71"/>
      <c r="L40" s="71"/>
      <c r="M40" s="71"/>
      <c r="N40" s="113"/>
      <c r="O40" s="71"/>
      <c r="P40" s="71"/>
      <c r="Q40" s="71"/>
      <c r="R40" s="71"/>
      <c r="S40" s="71"/>
      <c r="T40" s="113"/>
      <c r="U40" s="71"/>
      <c r="V40" s="71"/>
      <c r="W40" s="71"/>
      <c r="X40" s="71"/>
      <c r="Y40" s="71"/>
      <c r="Z40" s="113"/>
      <c r="AA40" s="71"/>
      <c r="AB40" s="71"/>
      <c r="AC40" s="71"/>
      <c r="AD40" s="71"/>
      <c r="AE40" s="113"/>
      <c r="AF40" s="113"/>
      <c r="AG40" s="71"/>
      <c r="AH40" s="71"/>
      <c r="AI40" s="71"/>
      <c r="AJ40" s="71"/>
      <c r="AK40" s="113"/>
      <c r="AL40" s="113"/>
      <c r="AM40" s="71"/>
      <c r="AN40" s="71"/>
      <c r="AO40" s="71"/>
      <c r="AP40" s="71"/>
      <c r="AQ40" s="113"/>
      <c r="AR40" s="113"/>
      <c r="AS40" s="71"/>
      <c r="AT40" s="71"/>
      <c r="AU40" s="71"/>
      <c r="AV40" s="71"/>
      <c r="AW40" s="113"/>
      <c r="AX40" s="113"/>
      <c r="AY40" s="71"/>
      <c r="AZ40" s="71"/>
      <c r="BA40" s="71"/>
      <c r="BB40" s="71"/>
      <c r="BC40" s="113"/>
      <c r="BD40" s="113"/>
      <c r="BE40" s="69">
        <f>SUM(BE37:BE39)</f>
        <v>-15249468</v>
      </c>
      <c r="BF40" s="69">
        <f t="shared" ref="BF40:CA40" si="39">SUM(BF37:BF39)</f>
        <v>12753072</v>
      </c>
      <c r="BG40" s="69">
        <f t="shared" si="39"/>
        <v>4829866</v>
      </c>
      <c r="BH40" s="69">
        <f t="shared" si="39"/>
        <v>11157522</v>
      </c>
      <c r="BI40" s="69">
        <f t="shared" si="39"/>
        <v>13490991</v>
      </c>
      <c r="BJ40" s="69">
        <f t="shared" si="39"/>
        <v>13490991</v>
      </c>
      <c r="BK40" s="69">
        <f t="shared" si="39"/>
        <v>91896.277900001034</v>
      </c>
      <c r="BL40" s="69">
        <f t="shared" si="39"/>
        <v>1798789</v>
      </c>
      <c r="BM40" s="69">
        <f t="shared" si="39"/>
        <v>-1200421</v>
      </c>
      <c r="BN40" s="69">
        <f t="shared" si="39"/>
        <v>3455772</v>
      </c>
      <c r="BO40" s="69">
        <f t="shared" si="39"/>
        <v>4146036.277900001</v>
      </c>
      <c r="BP40" s="69">
        <f t="shared" si="39"/>
        <v>4146036</v>
      </c>
      <c r="BQ40" s="69">
        <f t="shared" si="39"/>
        <v>4150462</v>
      </c>
      <c r="BR40" s="69">
        <f t="shared" si="39"/>
        <v>2780486</v>
      </c>
      <c r="BS40" s="69">
        <f t="shared" si="39"/>
        <v>4230620</v>
      </c>
      <c r="BT40" s="69">
        <f t="shared" si="39"/>
        <v>12660049</v>
      </c>
      <c r="BU40" s="69">
        <f t="shared" si="39"/>
        <v>23821617</v>
      </c>
      <c r="BV40" s="69">
        <f t="shared" si="39"/>
        <v>23821616</v>
      </c>
      <c r="BW40" s="69">
        <f t="shared" si="39"/>
        <v>6905318</v>
      </c>
      <c r="BX40" s="69">
        <f t="shared" si="39"/>
        <v>5843122</v>
      </c>
      <c r="BY40" s="69">
        <f t="shared" si="39"/>
        <v>-722630</v>
      </c>
      <c r="BZ40" s="69">
        <f t="shared" si="39"/>
        <v>6537385</v>
      </c>
      <c r="CA40" s="69">
        <f t="shared" si="39"/>
        <v>18563195</v>
      </c>
      <c r="CB40" s="69">
        <f>SUM(CB37:CB39)</f>
        <v>18563195</v>
      </c>
      <c r="CC40" s="69">
        <f t="shared" ref="CC40:CG40" si="40">SUM(CC37:CC39)</f>
        <v>2738329</v>
      </c>
      <c r="CD40" s="69">
        <f t="shared" si="40"/>
        <v>3379303</v>
      </c>
      <c r="CE40" s="69">
        <f t="shared" si="40"/>
        <v>-2163697</v>
      </c>
      <c r="CF40" s="69">
        <f t="shared" si="40"/>
        <v>3608598</v>
      </c>
      <c r="CG40" s="69">
        <f t="shared" si="40"/>
        <v>7562533</v>
      </c>
      <c r="CH40" s="69">
        <f>SUM(CH37:CH39)</f>
        <v>7562533</v>
      </c>
      <c r="CI40" s="69">
        <f t="shared" ref="CI40:CM40" si="41">SUM(CI37:CI39)</f>
        <v>1706344</v>
      </c>
      <c r="CJ40" s="69">
        <f t="shared" si="41"/>
        <v>6456511</v>
      </c>
      <c r="CK40" s="69">
        <f t="shared" si="41"/>
        <v>4251546</v>
      </c>
      <c r="CL40" s="69">
        <f t="shared" si="41"/>
        <v>16314027</v>
      </c>
      <c r="CM40" s="69">
        <f t="shared" si="41"/>
        <v>28932842</v>
      </c>
    </row>
    <row r="41" spans="2:91" s="51" customFormat="1" ht="12" x14ac:dyDescent="0.3">
      <c r="B41" s="23" t="s">
        <v>382</v>
      </c>
      <c r="C41" s="70"/>
      <c r="D41" s="71"/>
      <c r="E41" s="71"/>
      <c r="F41" s="71"/>
      <c r="H41" s="113"/>
      <c r="I41" s="71"/>
      <c r="J41" s="71"/>
      <c r="K41" s="71"/>
      <c r="L41" s="71"/>
      <c r="M41" s="71"/>
      <c r="N41" s="113"/>
      <c r="O41" s="71"/>
      <c r="P41" s="71"/>
      <c r="Q41" s="71"/>
      <c r="R41" s="71"/>
      <c r="S41" s="71"/>
      <c r="T41" s="113"/>
      <c r="U41" s="71"/>
      <c r="V41" s="71"/>
      <c r="W41" s="71"/>
      <c r="X41" s="71"/>
      <c r="Y41" s="71"/>
      <c r="Z41" s="113"/>
      <c r="AA41" s="71"/>
      <c r="AB41" s="71"/>
      <c r="AC41" s="71"/>
      <c r="AD41" s="71"/>
      <c r="AE41" s="113"/>
      <c r="AF41" s="113"/>
      <c r="AG41" s="71"/>
      <c r="AH41" s="71"/>
      <c r="AI41" s="71"/>
      <c r="AJ41" s="71"/>
      <c r="AK41" s="113"/>
      <c r="AL41" s="113"/>
      <c r="AM41" s="71"/>
      <c r="AN41" s="71"/>
      <c r="AO41" s="71"/>
      <c r="AP41" s="71"/>
      <c r="AQ41" s="113"/>
      <c r="AR41" s="113"/>
      <c r="AS41" s="71"/>
      <c r="AT41" s="71"/>
      <c r="AU41" s="71"/>
      <c r="AV41" s="71"/>
      <c r="AW41" s="113"/>
      <c r="AX41" s="113"/>
      <c r="AY41" s="71"/>
      <c r="AZ41" s="71"/>
      <c r="BA41" s="71"/>
      <c r="BB41" s="71"/>
      <c r="BC41" s="113"/>
      <c r="BD41" s="113"/>
      <c r="BE41" s="113"/>
      <c r="BF41" s="113"/>
      <c r="BG41" s="113"/>
      <c r="BH41" s="113"/>
      <c r="BI41" s="113"/>
      <c r="BJ41" s="113"/>
      <c r="BK41" s="113"/>
      <c r="BL41" s="113"/>
      <c r="BM41" s="113"/>
      <c r="BN41" s="113"/>
      <c r="BO41" s="113"/>
      <c r="BP41" s="113"/>
      <c r="BQ41" s="113"/>
      <c r="BR41" s="113"/>
      <c r="BS41" s="113"/>
      <c r="BT41" s="113"/>
      <c r="BU41" s="113"/>
      <c r="BV41" s="113"/>
      <c r="BW41" s="113"/>
      <c r="BX41" s="113"/>
      <c r="BY41" s="113"/>
      <c r="BZ41" s="113"/>
      <c r="CA41" s="113"/>
      <c r="CB41" s="113"/>
      <c r="CC41" s="113"/>
      <c r="CD41" s="113"/>
      <c r="CE41" s="113"/>
      <c r="CF41" s="113"/>
      <c r="CG41" s="113"/>
      <c r="CH41" s="113"/>
      <c r="CI41" s="113"/>
      <c r="CJ41" s="113"/>
      <c r="CK41" s="113"/>
      <c r="CL41" s="113"/>
      <c r="CM41" s="113"/>
    </row>
    <row r="42" spans="2:91" s="51" customFormat="1" ht="12" x14ac:dyDescent="0.3">
      <c r="B42" s="23" t="s">
        <v>81</v>
      </c>
      <c r="C42" s="70"/>
      <c r="D42" s="71"/>
      <c r="E42" s="71"/>
      <c r="F42" s="71"/>
      <c r="H42" s="113"/>
      <c r="I42" s="71"/>
      <c r="J42" s="71"/>
      <c r="K42" s="71"/>
      <c r="L42" s="71"/>
      <c r="M42" s="71"/>
      <c r="N42" s="113"/>
      <c r="O42" s="71"/>
      <c r="P42" s="71"/>
      <c r="Q42" s="71"/>
      <c r="R42" s="71"/>
      <c r="S42" s="71"/>
      <c r="T42" s="113"/>
      <c r="U42" s="71"/>
      <c r="V42" s="71"/>
      <c r="W42" s="71"/>
      <c r="X42" s="71"/>
      <c r="Y42" s="71"/>
      <c r="Z42" s="113"/>
      <c r="AA42" s="71"/>
      <c r="AB42" s="71"/>
      <c r="AC42" s="71"/>
      <c r="AD42" s="71"/>
      <c r="AE42" s="113"/>
      <c r="AF42" s="113"/>
      <c r="AG42" s="71"/>
      <c r="AH42" s="71"/>
      <c r="AI42" s="71"/>
      <c r="AJ42" s="71"/>
      <c r="AK42" s="113"/>
      <c r="AL42" s="113"/>
      <c r="AM42" s="71"/>
      <c r="AN42" s="71"/>
      <c r="AO42" s="71"/>
      <c r="AP42" s="71"/>
      <c r="AQ42" s="113"/>
      <c r="AR42" s="113"/>
      <c r="AS42" s="71"/>
      <c r="AT42" s="71"/>
      <c r="AU42" s="71"/>
      <c r="AV42" s="71"/>
      <c r="AW42" s="113"/>
      <c r="AX42" s="113"/>
      <c r="AY42" s="71"/>
      <c r="AZ42" s="71"/>
      <c r="BA42" s="71"/>
      <c r="BB42" s="71"/>
      <c r="BC42" s="113"/>
      <c r="BD42" s="113"/>
      <c r="BE42" s="38">
        <v>-15207717</v>
      </c>
      <c r="BF42" s="38">
        <v>13297801</v>
      </c>
      <c r="BG42" s="38">
        <v>4482777</v>
      </c>
      <c r="BH42" s="38">
        <v>10401387</v>
      </c>
      <c r="BI42" s="38">
        <v>12974248</v>
      </c>
      <c r="BJ42" s="38">
        <v>12974248</v>
      </c>
      <c r="BK42" s="38">
        <v>-416505</v>
      </c>
      <c r="BL42" s="38">
        <v>1540289</v>
      </c>
      <c r="BM42" s="38">
        <v>-611421</v>
      </c>
      <c r="BN42" s="38">
        <v>3147175</v>
      </c>
      <c r="BO42" s="38">
        <v>3659538</v>
      </c>
      <c r="BP42" s="38">
        <v>3659538</v>
      </c>
      <c r="BQ42" s="38">
        <v>4235172</v>
      </c>
      <c r="BR42" s="38">
        <v>2556313</v>
      </c>
      <c r="BS42" s="38">
        <v>4315827</v>
      </c>
      <c r="BT42" s="38">
        <v>12535546</v>
      </c>
      <c r="BU42" s="39">
        <f t="shared" ref="BU42:BU43" si="42">SUM(BQ42:BT42)</f>
        <v>23642858</v>
      </c>
      <c r="BV42" s="38">
        <v>23642858</v>
      </c>
      <c r="BW42" s="38">
        <v>6543899</v>
      </c>
      <c r="BX42" s="38">
        <v>5562228</v>
      </c>
      <c r="BY42" s="38">
        <v>-200646</v>
      </c>
      <c r="BZ42" s="38">
        <v>5927874</v>
      </c>
      <c r="CA42" s="39">
        <f t="shared" ref="CA42:CA43" si="43">SUM(BW42:BZ42)</f>
        <v>17833355</v>
      </c>
      <c r="CB42" s="39">
        <f>SUM(BW42:BZ42)</f>
        <v>17833355</v>
      </c>
      <c r="CC42" s="38">
        <v>2640858</v>
      </c>
      <c r="CD42" s="38">
        <v>4107532</v>
      </c>
      <c r="CE42" s="38">
        <v>-1158732</v>
      </c>
      <c r="CF42" s="36">
        <v>4084146</v>
      </c>
      <c r="CG42" s="39">
        <f t="shared" ref="CG42:CG43" si="44">SUM(CC42:CF42)</f>
        <v>9673804</v>
      </c>
      <c r="CH42" s="39">
        <v>9673804</v>
      </c>
      <c r="CI42" s="38">
        <v>1569191</v>
      </c>
      <c r="CJ42" s="38">
        <v>5407733</v>
      </c>
      <c r="CK42" s="38">
        <v>3695858</v>
      </c>
      <c r="CL42" s="36">
        <v>13783232</v>
      </c>
      <c r="CM42" s="39">
        <f t="shared" ref="CM42:CM43" si="45">SUM(CI42:CL42)</f>
        <v>24456014</v>
      </c>
    </row>
    <row r="43" spans="2:91" s="51" customFormat="1" ht="12" x14ac:dyDescent="0.3">
      <c r="B43" s="23" t="s">
        <v>82</v>
      </c>
      <c r="C43" s="70"/>
      <c r="D43" s="71"/>
      <c r="E43" s="71"/>
      <c r="F43" s="71"/>
      <c r="H43" s="113"/>
      <c r="I43" s="71"/>
      <c r="J43" s="71"/>
      <c r="K43" s="71"/>
      <c r="L43" s="71"/>
      <c r="M43" s="71"/>
      <c r="N43" s="113"/>
      <c r="O43" s="71"/>
      <c r="P43" s="71"/>
      <c r="Q43" s="71"/>
      <c r="R43" s="71"/>
      <c r="S43" s="71"/>
      <c r="T43" s="113"/>
      <c r="U43" s="71"/>
      <c r="V43" s="71"/>
      <c r="W43" s="71"/>
      <c r="X43" s="71"/>
      <c r="Y43" s="71"/>
      <c r="Z43" s="113"/>
      <c r="AA43" s="71"/>
      <c r="AB43" s="71"/>
      <c r="AC43" s="71"/>
      <c r="AD43" s="71"/>
      <c r="AE43" s="113"/>
      <c r="AF43" s="113"/>
      <c r="AG43" s="71"/>
      <c r="AH43" s="71"/>
      <c r="AI43" s="71"/>
      <c r="AJ43" s="71"/>
      <c r="AK43" s="113"/>
      <c r="AL43" s="113"/>
      <c r="AM43" s="71"/>
      <c r="AN43" s="71"/>
      <c r="AO43" s="71"/>
      <c r="AP43" s="71"/>
      <c r="AQ43" s="113"/>
      <c r="AR43" s="113"/>
      <c r="AS43" s="71"/>
      <c r="AT43" s="71"/>
      <c r="AU43" s="71"/>
      <c r="AV43" s="71"/>
      <c r="AW43" s="113"/>
      <c r="AX43" s="113"/>
      <c r="AY43" s="71"/>
      <c r="AZ43" s="71"/>
      <c r="BA43" s="71"/>
      <c r="BB43" s="71"/>
      <c r="BC43" s="113"/>
      <c r="BD43" s="113"/>
      <c r="BE43" s="36">
        <v>148296</v>
      </c>
      <c r="BF43" s="36">
        <v>60035</v>
      </c>
      <c r="BG43" s="36">
        <v>56362</v>
      </c>
      <c r="BH43" s="36">
        <v>720293</v>
      </c>
      <c r="BI43" s="36">
        <v>984986</v>
      </c>
      <c r="BJ43" s="36">
        <v>984986</v>
      </c>
      <c r="BK43" s="36">
        <v>78038</v>
      </c>
      <c r="BL43" s="36">
        <v>-21105</v>
      </c>
      <c r="BM43" s="36">
        <v>72701</v>
      </c>
      <c r="BN43" s="36">
        <v>220832</v>
      </c>
      <c r="BO43" s="36">
        <v>350466</v>
      </c>
      <c r="BP43" s="36">
        <v>350466</v>
      </c>
      <c r="BQ43" s="36">
        <v>127266</v>
      </c>
      <c r="BR43" s="36">
        <v>63507</v>
      </c>
      <c r="BS43" s="36">
        <v>69969</v>
      </c>
      <c r="BT43" s="36">
        <v>193289</v>
      </c>
      <c r="BU43" s="39">
        <f t="shared" si="42"/>
        <v>454031</v>
      </c>
      <c r="BV43" s="36">
        <v>454031</v>
      </c>
      <c r="BW43" s="36">
        <v>125445</v>
      </c>
      <c r="BX43" s="36">
        <v>121278</v>
      </c>
      <c r="BY43" s="36">
        <v>126987</v>
      </c>
      <c r="BZ43" s="36">
        <v>137000</v>
      </c>
      <c r="CA43" s="39">
        <f t="shared" si="43"/>
        <v>510710</v>
      </c>
      <c r="CB43" s="39">
        <f>SUM(BW43:BZ43)</f>
        <v>510710</v>
      </c>
      <c r="CC43" s="36">
        <v>128473</v>
      </c>
      <c r="CD43" s="36">
        <v>121474</v>
      </c>
      <c r="CE43" s="36">
        <v>128296</v>
      </c>
      <c r="CF43" s="36">
        <v>-45095</v>
      </c>
      <c r="CG43" s="39">
        <f t="shared" si="44"/>
        <v>333148</v>
      </c>
      <c r="CH43" s="39">
        <v>333148</v>
      </c>
      <c r="CI43" s="36">
        <v>16501</v>
      </c>
      <c r="CJ43" s="36">
        <v>20317</v>
      </c>
      <c r="CK43" s="36">
        <v>15564</v>
      </c>
      <c r="CL43" s="36">
        <v>2540927</v>
      </c>
      <c r="CM43" s="39">
        <f t="shared" si="45"/>
        <v>2593309</v>
      </c>
    </row>
    <row r="44" spans="2:91" s="51" customFormat="1" ht="12" x14ac:dyDescent="0.3">
      <c r="B44" s="23"/>
      <c r="C44" s="70"/>
      <c r="D44" s="71"/>
      <c r="E44" s="71"/>
      <c r="F44" s="71"/>
      <c r="G44" s="71"/>
      <c r="H44" s="71"/>
      <c r="I44" s="71"/>
      <c r="J44" s="71"/>
      <c r="K44" s="71"/>
      <c r="L44" s="71"/>
      <c r="M44" s="71"/>
      <c r="N44" s="71"/>
      <c r="O44" s="71"/>
      <c r="P44" s="71"/>
      <c r="Q44" s="71"/>
      <c r="R44" s="71"/>
      <c r="S44" s="71"/>
      <c r="T44" s="71"/>
      <c r="U44" s="71"/>
      <c r="V44" s="71"/>
      <c r="W44" s="71"/>
      <c r="X44" s="71"/>
      <c r="Y44" s="71"/>
      <c r="Z44" s="71"/>
      <c r="AA44" s="71"/>
      <c r="AB44" s="71"/>
      <c r="AC44" s="71"/>
      <c r="AD44" s="71"/>
      <c r="AE44" s="113"/>
      <c r="AF44" s="113"/>
      <c r="AG44" s="71"/>
      <c r="AH44" s="71"/>
      <c r="AI44" s="71"/>
      <c r="AJ44" s="71"/>
      <c r="AK44" s="113"/>
      <c r="AL44" s="113"/>
      <c r="AM44" s="71"/>
      <c r="AN44" s="71"/>
      <c r="AO44" s="71"/>
      <c r="AP44" s="71"/>
      <c r="AQ44" s="113"/>
      <c r="AR44" s="113"/>
      <c r="AS44" s="71"/>
      <c r="AT44" s="71"/>
      <c r="AU44" s="71"/>
      <c r="AV44" s="71"/>
      <c r="AW44" s="113"/>
      <c r="AX44" s="113"/>
      <c r="AY44" s="71"/>
      <c r="AZ44" s="71"/>
      <c r="BA44" s="71"/>
      <c r="BB44" s="71"/>
      <c r="BC44" s="113"/>
      <c r="BD44" s="113"/>
      <c r="BE44" s="69">
        <f>+BE42+BE43</f>
        <v>-15059421</v>
      </c>
      <c r="BF44" s="69">
        <f t="shared" ref="BF44:CA44" si="46">+BF42+BF43</f>
        <v>13357836</v>
      </c>
      <c r="BG44" s="69">
        <f t="shared" si="46"/>
        <v>4539139</v>
      </c>
      <c r="BH44" s="69">
        <f>+BH42+BH43</f>
        <v>11121680</v>
      </c>
      <c r="BI44" s="69">
        <f t="shared" si="46"/>
        <v>13959234</v>
      </c>
      <c r="BJ44" s="69">
        <f t="shared" si="46"/>
        <v>13959234</v>
      </c>
      <c r="BK44" s="69">
        <f t="shared" si="46"/>
        <v>-338467</v>
      </c>
      <c r="BL44" s="69">
        <f t="shared" si="46"/>
        <v>1519184</v>
      </c>
      <c r="BM44" s="69">
        <f t="shared" si="46"/>
        <v>-538720</v>
      </c>
      <c r="BN44" s="69">
        <f t="shared" si="46"/>
        <v>3368007</v>
      </c>
      <c r="BO44" s="69">
        <f t="shared" si="46"/>
        <v>4010004</v>
      </c>
      <c r="BP44" s="69">
        <f t="shared" si="46"/>
        <v>4010004</v>
      </c>
      <c r="BQ44" s="69">
        <f t="shared" si="46"/>
        <v>4362438</v>
      </c>
      <c r="BR44" s="69">
        <f t="shared" si="46"/>
        <v>2619820</v>
      </c>
      <c r="BS44" s="69">
        <f t="shared" si="46"/>
        <v>4385796</v>
      </c>
      <c r="BT44" s="69">
        <f t="shared" si="46"/>
        <v>12728835</v>
      </c>
      <c r="BU44" s="69">
        <f t="shared" si="46"/>
        <v>24096889</v>
      </c>
      <c r="BV44" s="69">
        <f t="shared" si="46"/>
        <v>24096889</v>
      </c>
      <c r="BW44" s="69">
        <f t="shared" si="46"/>
        <v>6669344</v>
      </c>
      <c r="BX44" s="69">
        <f t="shared" si="46"/>
        <v>5683506</v>
      </c>
      <c r="BY44" s="69">
        <f t="shared" si="46"/>
        <v>-73659</v>
      </c>
      <c r="BZ44" s="69">
        <f t="shared" si="46"/>
        <v>6064874</v>
      </c>
      <c r="CA44" s="69">
        <f t="shared" si="46"/>
        <v>18344065</v>
      </c>
      <c r="CB44" s="69">
        <f>+CB42+CB43</f>
        <v>18344065</v>
      </c>
      <c r="CC44" s="69">
        <f t="shared" ref="CC44:CH44" si="47">+CC42+CC43</f>
        <v>2769331</v>
      </c>
      <c r="CD44" s="69">
        <f t="shared" si="47"/>
        <v>4229006</v>
      </c>
      <c r="CE44" s="69">
        <f t="shared" si="47"/>
        <v>-1030436</v>
      </c>
      <c r="CF44" s="69">
        <f t="shared" si="47"/>
        <v>4039051</v>
      </c>
      <c r="CG44" s="69">
        <f t="shared" si="47"/>
        <v>10006952</v>
      </c>
      <c r="CH44" s="69">
        <f t="shared" si="47"/>
        <v>10006952</v>
      </c>
      <c r="CI44" s="69">
        <f t="shared" ref="CI44:CM44" si="48">+CI42+CI43</f>
        <v>1585692</v>
      </c>
      <c r="CJ44" s="69">
        <f t="shared" si="48"/>
        <v>5428050</v>
      </c>
      <c r="CK44" s="69">
        <f t="shared" si="48"/>
        <v>3711422</v>
      </c>
      <c r="CL44" s="69">
        <f t="shared" si="48"/>
        <v>16324159</v>
      </c>
      <c r="CM44" s="69">
        <f t="shared" si="48"/>
        <v>27049323</v>
      </c>
    </row>
    <row r="45" spans="2:91" s="51" customFormat="1" ht="12" x14ac:dyDescent="0.3">
      <c r="B45" s="23"/>
      <c r="C45" s="70"/>
      <c r="D45" s="71"/>
      <c r="E45" s="71"/>
      <c r="F45" s="71"/>
      <c r="G45" s="71"/>
      <c r="H45" s="71"/>
      <c r="I45" s="71"/>
      <c r="J45" s="71"/>
      <c r="K45" s="71"/>
      <c r="L45" s="71"/>
      <c r="M45" s="71"/>
      <c r="N45" s="71"/>
      <c r="O45" s="71"/>
      <c r="P45" s="71"/>
      <c r="Q45" s="71"/>
      <c r="R45" s="71"/>
      <c r="S45" s="71"/>
      <c r="T45" s="71"/>
      <c r="U45" s="71"/>
      <c r="V45" s="71"/>
      <c r="W45" s="71"/>
      <c r="X45" s="71"/>
      <c r="Y45" s="71"/>
      <c r="Z45" s="71"/>
      <c r="AA45" s="71"/>
      <c r="AB45" s="71"/>
      <c r="AC45" s="71"/>
      <c r="AD45" s="71"/>
      <c r="AE45" s="113"/>
      <c r="AF45" s="113"/>
      <c r="AG45" s="71"/>
      <c r="AH45" s="71"/>
      <c r="AI45" s="71"/>
      <c r="AJ45" s="71"/>
      <c r="AK45" s="113"/>
      <c r="AL45" s="113"/>
      <c r="AM45" s="71"/>
      <c r="AN45" s="71"/>
      <c r="AO45" s="71"/>
      <c r="AP45" s="71"/>
      <c r="AQ45" s="113"/>
      <c r="AR45" s="113"/>
      <c r="AS45" s="71"/>
      <c r="AT45" s="71"/>
      <c r="AU45" s="71"/>
      <c r="AV45" s="71"/>
      <c r="AW45" s="113"/>
      <c r="AX45" s="113"/>
      <c r="AY45" s="71"/>
      <c r="AZ45" s="71"/>
      <c r="BA45" s="71"/>
      <c r="BB45" s="71"/>
      <c r="BC45" s="113"/>
      <c r="BD45" s="169"/>
      <c r="BE45" s="36"/>
      <c r="BF45" s="36"/>
      <c r="BG45" s="36"/>
      <c r="BH45" s="36"/>
      <c r="BI45" s="36"/>
      <c r="BJ45" s="36"/>
      <c r="BK45" s="36"/>
      <c r="BL45" s="36"/>
      <c r="BM45" s="36"/>
      <c r="BN45" s="36"/>
      <c r="BO45" s="36"/>
      <c r="BP45" s="36"/>
      <c r="BQ45" s="36"/>
      <c r="BR45" s="36"/>
      <c r="BS45" s="36"/>
      <c r="BT45" s="36"/>
      <c r="BU45" s="36"/>
      <c r="BV45" s="36"/>
      <c r="BW45" s="36"/>
      <c r="BX45" s="36"/>
      <c r="BY45" s="36"/>
      <c r="BZ45" s="36"/>
      <c r="CA45" s="36"/>
      <c r="CB45" s="36"/>
      <c r="CC45" s="36"/>
      <c r="CD45" s="36"/>
      <c r="CE45" s="36"/>
      <c r="CF45" s="36"/>
      <c r="CG45" s="36"/>
      <c r="CH45" s="36"/>
      <c r="CI45" s="36"/>
      <c r="CJ45" s="36"/>
      <c r="CK45" s="36"/>
      <c r="CL45" s="36"/>
      <c r="CM45" s="36"/>
    </row>
    <row r="46" spans="2:91" s="51" customFormat="1" ht="12" x14ac:dyDescent="0.3">
      <c r="B46" s="23" t="s">
        <v>385</v>
      </c>
      <c r="C46" s="70"/>
      <c r="D46" s="71"/>
      <c r="E46" s="71"/>
      <c r="F46" s="71"/>
      <c r="G46" s="71"/>
      <c r="H46" s="71"/>
      <c r="I46" s="71"/>
      <c r="J46" s="71"/>
      <c r="K46" s="71"/>
      <c r="L46" s="71"/>
      <c r="M46" s="71"/>
      <c r="N46" s="71"/>
      <c r="O46" s="71"/>
      <c r="P46" s="71"/>
      <c r="Q46" s="71"/>
      <c r="R46" s="71"/>
      <c r="S46" s="71"/>
      <c r="T46" s="71"/>
      <c r="U46" s="71"/>
      <c r="V46" s="71"/>
      <c r="W46" s="71"/>
      <c r="X46" s="71"/>
      <c r="Y46" s="71"/>
      <c r="Z46" s="71"/>
      <c r="AA46" s="71"/>
      <c r="AB46" s="71"/>
      <c r="AC46" s="71"/>
      <c r="AD46" s="71"/>
      <c r="AE46" s="113"/>
      <c r="AF46" s="113"/>
      <c r="AG46" s="71"/>
      <c r="AH46" s="71"/>
      <c r="AI46" s="71"/>
      <c r="AJ46" s="71"/>
      <c r="AK46" s="113"/>
      <c r="AL46" s="113"/>
      <c r="AM46" s="71"/>
      <c r="AN46" s="71"/>
      <c r="AO46" s="71"/>
      <c r="AP46" s="71"/>
      <c r="AQ46" s="113"/>
      <c r="AR46" s="113"/>
      <c r="AS46" s="71"/>
      <c r="AT46" s="71"/>
      <c r="AU46" s="71"/>
      <c r="AV46" s="71"/>
      <c r="AW46" s="113"/>
      <c r="AX46" s="113"/>
      <c r="AY46" s="71"/>
      <c r="AZ46" s="71"/>
      <c r="BA46" s="71"/>
      <c r="BB46" s="71"/>
      <c r="BC46" s="113"/>
      <c r="BD46" s="169"/>
      <c r="BE46" s="169"/>
      <c r="BF46" s="169"/>
      <c r="BG46" s="169"/>
      <c r="BH46" s="169"/>
      <c r="BI46" s="169"/>
      <c r="BJ46" s="169"/>
      <c r="BK46" s="169"/>
      <c r="BL46" s="169"/>
      <c r="BM46" s="169"/>
      <c r="BN46" s="169"/>
      <c r="BO46" s="169"/>
      <c r="BP46" s="169"/>
      <c r="BQ46" s="169"/>
      <c r="BR46" s="169"/>
      <c r="BS46" s="169"/>
      <c r="BT46" s="169"/>
      <c r="BU46" s="169"/>
      <c r="BV46" s="169"/>
      <c r="BW46" s="169"/>
      <c r="BX46" s="169"/>
      <c r="BY46" s="169"/>
      <c r="BZ46" s="169"/>
      <c r="CA46" s="169"/>
      <c r="CB46" s="169"/>
      <c r="CC46" s="169"/>
      <c r="CD46" s="169"/>
      <c r="CE46" s="169"/>
      <c r="CF46" s="169"/>
      <c r="CG46" s="169"/>
      <c r="CH46" s="169"/>
      <c r="CI46" s="169"/>
      <c r="CJ46" s="169"/>
      <c r="CK46" s="169"/>
      <c r="CL46" s="169"/>
      <c r="CM46" s="169"/>
    </row>
    <row r="47" spans="2:91" s="51" customFormat="1" ht="12" x14ac:dyDescent="0.3">
      <c r="B47" s="23" t="s">
        <v>81</v>
      </c>
      <c r="C47" s="72"/>
      <c r="D47" s="73"/>
      <c r="E47" s="73"/>
      <c r="F47" s="73"/>
      <c r="G47" s="73"/>
      <c r="H47" s="73"/>
      <c r="I47" s="73"/>
      <c r="J47" s="73"/>
      <c r="K47" s="73"/>
      <c r="L47" s="73"/>
      <c r="M47" s="73"/>
      <c r="N47" s="73"/>
      <c r="O47" s="73"/>
      <c r="P47" s="73"/>
      <c r="Q47" s="73"/>
      <c r="R47" s="73"/>
      <c r="S47" s="73"/>
      <c r="T47" s="73"/>
      <c r="U47" s="73"/>
      <c r="V47" s="73"/>
      <c r="W47" s="73"/>
      <c r="X47" s="73"/>
      <c r="Y47" s="73"/>
      <c r="Z47" s="73"/>
      <c r="AA47" s="73"/>
      <c r="AB47" s="74"/>
      <c r="AC47" s="74"/>
      <c r="AD47" s="74"/>
      <c r="AE47" s="74"/>
      <c r="AF47" s="74"/>
      <c r="AG47" s="38">
        <v>2738007</v>
      </c>
      <c r="AH47" s="38">
        <v>1723789</v>
      </c>
      <c r="AI47" s="39">
        <v>1432610</v>
      </c>
      <c r="AJ47" s="39">
        <v>5930226</v>
      </c>
      <c r="AK47" s="39">
        <v>11824632</v>
      </c>
      <c r="AL47" s="39">
        <v>11824632</v>
      </c>
      <c r="AM47" s="38">
        <v>5026414</v>
      </c>
      <c r="AN47" s="38">
        <v>3508591</v>
      </c>
      <c r="AO47" s="39">
        <v>2060896</v>
      </c>
      <c r="AP47" s="39">
        <v>1522040</v>
      </c>
      <c r="AQ47" s="39">
        <v>12117941</v>
      </c>
      <c r="AR47" s="39">
        <v>12117941</v>
      </c>
      <c r="AS47" s="39">
        <v>4797746.0167699996</v>
      </c>
      <c r="AT47" s="39">
        <v>871095.07741999999</v>
      </c>
      <c r="AU47" s="39">
        <v>4541909.07742</v>
      </c>
      <c r="AV47" s="39">
        <v>6969527</v>
      </c>
      <c r="AW47" s="39">
        <v>17180277.171609998</v>
      </c>
      <c r="AX47" s="36">
        <v>17180277.171609998</v>
      </c>
      <c r="AY47" s="36">
        <v>4216383</v>
      </c>
      <c r="AZ47" s="36">
        <v>5436463</v>
      </c>
      <c r="BA47" s="36">
        <v>1917486</v>
      </c>
      <c r="BB47" s="36">
        <v>7004415</v>
      </c>
      <c r="BC47" s="39">
        <v>18574747</v>
      </c>
      <c r="BD47" s="36">
        <v>18000055</v>
      </c>
      <c r="BE47" s="160">
        <v>-15397764</v>
      </c>
      <c r="BF47" s="160">
        <v>12784994</v>
      </c>
      <c r="BG47" s="160">
        <v>4756716</v>
      </c>
      <c r="BH47" s="160">
        <v>10445094</v>
      </c>
      <c r="BI47" s="160">
        <v>12589039</v>
      </c>
      <c r="BJ47" s="160">
        <v>12589039</v>
      </c>
      <c r="BK47" s="160">
        <v>-45949</v>
      </c>
      <c r="BL47" s="160">
        <v>1785242</v>
      </c>
      <c r="BM47" s="160">
        <v>-1290271</v>
      </c>
      <c r="BN47" s="160">
        <v>3206290</v>
      </c>
      <c r="BO47" s="160">
        <v>3655313</v>
      </c>
      <c r="BP47" s="160">
        <v>3655313</v>
      </c>
      <c r="BQ47" s="160">
        <v>3984485</v>
      </c>
      <c r="BR47" s="160">
        <v>2692019</v>
      </c>
      <c r="BS47" s="160">
        <v>4148313</v>
      </c>
      <c r="BT47" s="160">
        <v>12473097</v>
      </c>
      <c r="BU47" s="160">
        <f t="shared" ref="BU47:BU48" si="49">SUM(BQ47:BT47)</f>
        <v>23297914</v>
      </c>
      <c r="BV47" s="160">
        <v>23297914</v>
      </c>
      <c r="BW47" s="160">
        <v>6776644</v>
      </c>
      <c r="BX47" s="160">
        <v>5729868</v>
      </c>
      <c r="BY47" s="160">
        <v>-847953</v>
      </c>
      <c r="BZ47" s="160">
        <v>6416994</v>
      </c>
      <c r="CA47" s="160">
        <f t="shared" ref="CA47:CA48" si="50">SUM(BW47:BZ47)</f>
        <v>18075553</v>
      </c>
      <c r="CB47" s="160">
        <f>SUM(BW47:BZ47)</f>
        <v>18075553</v>
      </c>
      <c r="CC47" s="160">
        <v>2618626</v>
      </c>
      <c r="CD47" s="160">
        <v>3266358</v>
      </c>
      <c r="CE47" s="160">
        <v>-2280128</v>
      </c>
      <c r="CF47" s="36">
        <v>3644894</v>
      </c>
      <c r="CG47" s="160">
        <f>SUM(CC47:CF47)</f>
        <v>7249750</v>
      </c>
      <c r="CH47" s="160">
        <v>7249750</v>
      </c>
      <c r="CI47" s="160">
        <v>1689843</v>
      </c>
      <c r="CJ47" s="160">
        <v>6436194</v>
      </c>
      <c r="CK47" s="160">
        <v>4235982</v>
      </c>
      <c r="CL47" s="36">
        <v>13974172</v>
      </c>
      <c r="CM47" s="160">
        <f>SUM(CI47:CL47)</f>
        <v>26336191</v>
      </c>
    </row>
    <row r="48" spans="2:91" s="51" customFormat="1" ht="12" x14ac:dyDescent="0.3">
      <c r="B48" s="23" t="s">
        <v>82</v>
      </c>
      <c r="C48" s="72"/>
      <c r="D48" s="73"/>
      <c r="E48" s="73"/>
      <c r="F48" s="73"/>
      <c r="G48" s="73"/>
      <c r="H48" s="73"/>
      <c r="I48" s="73"/>
      <c r="J48" s="73"/>
      <c r="K48" s="73"/>
      <c r="L48" s="73"/>
      <c r="M48" s="73"/>
      <c r="N48" s="73"/>
      <c r="O48" s="73"/>
      <c r="P48" s="73"/>
      <c r="Q48" s="73"/>
      <c r="R48" s="73"/>
      <c r="S48" s="73"/>
      <c r="T48" s="73"/>
      <c r="U48" s="73"/>
      <c r="V48" s="73"/>
      <c r="W48" s="73"/>
      <c r="X48" s="73"/>
      <c r="Y48" s="73"/>
      <c r="Z48" s="73"/>
      <c r="AA48" s="73"/>
      <c r="AB48" s="74"/>
      <c r="AC48" s="74"/>
      <c r="AD48" s="74"/>
      <c r="AE48" s="74"/>
      <c r="AF48" s="74"/>
      <c r="AG48" s="38">
        <v>31450</v>
      </c>
      <c r="AH48" s="38">
        <v>621476</v>
      </c>
      <c r="AI48" s="39">
        <v>-111770</v>
      </c>
      <c r="AJ48" s="39">
        <v>28123.930509469938</v>
      </c>
      <c r="AK48" s="39">
        <v>569279.93050946994</v>
      </c>
      <c r="AL48" s="39">
        <v>569279.93050946994</v>
      </c>
      <c r="AM48" s="38">
        <v>10770</v>
      </c>
      <c r="AN48" s="38">
        <v>9117</v>
      </c>
      <c r="AO48" s="39">
        <v>10005</v>
      </c>
      <c r="AP48" s="39">
        <v>10347</v>
      </c>
      <c r="AQ48" s="39">
        <v>40239</v>
      </c>
      <c r="AR48" s="39">
        <v>40239</v>
      </c>
      <c r="AS48" s="39">
        <v>21891</v>
      </c>
      <c r="AT48" s="36">
        <v>-9078</v>
      </c>
      <c r="AU48" s="36">
        <v>40963</v>
      </c>
      <c r="AV48" s="36">
        <v>36699</v>
      </c>
      <c r="AW48" s="39">
        <v>90475</v>
      </c>
      <c r="AX48" s="39">
        <v>90475</v>
      </c>
      <c r="AY48" s="39">
        <v>47455</v>
      </c>
      <c r="AZ48" s="36">
        <v>36993</v>
      </c>
      <c r="BA48" s="36">
        <v>52742</v>
      </c>
      <c r="BB48" s="36">
        <v>13073</v>
      </c>
      <c r="BC48" s="39">
        <v>150263</v>
      </c>
      <c r="BD48" s="36">
        <v>150263</v>
      </c>
      <c r="BE48" s="36">
        <v>148296</v>
      </c>
      <c r="BF48" s="36">
        <v>-31922</v>
      </c>
      <c r="BG48" s="36">
        <v>73150</v>
      </c>
      <c r="BH48" s="36">
        <v>712428</v>
      </c>
      <c r="BI48" s="36">
        <v>901952</v>
      </c>
      <c r="BJ48" s="36">
        <v>901952</v>
      </c>
      <c r="BK48" s="36">
        <v>137845</v>
      </c>
      <c r="BL48" s="36">
        <v>13547</v>
      </c>
      <c r="BM48" s="36">
        <v>89850</v>
      </c>
      <c r="BN48" s="36">
        <v>249482</v>
      </c>
      <c r="BO48" s="36">
        <v>490723</v>
      </c>
      <c r="BP48" s="36">
        <v>490723</v>
      </c>
      <c r="BQ48" s="36">
        <v>165977</v>
      </c>
      <c r="BR48" s="36">
        <v>88467</v>
      </c>
      <c r="BS48" s="36">
        <v>82307</v>
      </c>
      <c r="BT48" s="36">
        <v>186952</v>
      </c>
      <c r="BU48" s="36">
        <f t="shared" si="49"/>
        <v>523703</v>
      </c>
      <c r="BV48" s="36">
        <v>523703</v>
      </c>
      <c r="BW48" s="36">
        <v>128674</v>
      </c>
      <c r="BX48" s="36">
        <v>113254</v>
      </c>
      <c r="BY48" s="36">
        <v>125323</v>
      </c>
      <c r="BZ48" s="36">
        <v>120391</v>
      </c>
      <c r="CA48" s="36">
        <f t="shared" si="50"/>
        <v>487642</v>
      </c>
      <c r="CB48" s="36">
        <f>SUM(BW48:BZ48)</f>
        <v>487642</v>
      </c>
      <c r="CC48" s="36">
        <v>119703</v>
      </c>
      <c r="CD48" s="36">
        <v>112945</v>
      </c>
      <c r="CE48" s="36">
        <v>116431</v>
      </c>
      <c r="CF48" s="36">
        <v>-36296</v>
      </c>
      <c r="CG48" s="36">
        <f t="shared" ref="CG48" si="51">SUM(CC48:CF48)</f>
        <v>312783</v>
      </c>
      <c r="CH48" s="36">
        <v>312783</v>
      </c>
      <c r="CI48" s="36">
        <v>16501</v>
      </c>
      <c r="CJ48" s="36">
        <v>20317</v>
      </c>
      <c r="CK48" s="36">
        <v>15564</v>
      </c>
      <c r="CL48" s="36">
        <v>2339855</v>
      </c>
      <c r="CM48" s="36">
        <v>2596651</v>
      </c>
    </row>
    <row r="49" spans="2:91" s="51" customFormat="1" ht="12" x14ac:dyDescent="0.3">
      <c r="B49" s="23"/>
      <c r="C49" s="72"/>
      <c r="D49" s="73"/>
      <c r="E49" s="73"/>
      <c r="F49" s="73"/>
      <c r="G49" s="73"/>
      <c r="H49" s="73"/>
      <c r="I49" s="73"/>
      <c r="J49" s="73"/>
      <c r="K49" s="73"/>
      <c r="L49" s="73"/>
      <c r="M49" s="73"/>
      <c r="N49" s="73"/>
      <c r="O49" s="73"/>
      <c r="P49" s="73"/>
      <c r="Q49" s="73"/>
      <c r="R49" s="73"/>
      <c r="S49" s="73"/>
      <c r="T49" s="73"/>
      <c r="U49" s="73"/>
      <c r="V49" s="73"/>
      <c r="W49" s="73"/>
      <c r="X49" s="73"/>
      <c r="Y49" s="73"/>
      <c r="Z49" s="73"/>
      <c r="AA49" s="73"/>
      <c r="AB49" s="74"/>
      <c r="AC49" s="74"/>
      <c r="AD49" s="74"/>
      <c r="AE49" s="74"/>
      <c r="AF49" s="74"/>
      <c r="AG49" s="38"/>
      <c r="AH49" s="38"/>
      <c r="AI49" s="39"/>
      <c r="AJ49" s="39"/>
      <c r="AK49" s="39"/>
      <c r="AL49" s="39"/>
      <c r="AM49" s="38"/>
      <c r="AN49" s="38"/>
      <c r="AO49" s="39"/>
      <c r="AP49" s="39"/>
      <c r="AQ49" s="39"/>
      <c r="AR49" s="39"/>
      <c r="AS49" s="39"/>
      <c r="AT49" s="36"/>
      <c r="AU49" s="36"/>
      <c r="AV49" s="36"/>
      <c r="AW49" s="39"/>
      <c r="AX49" s="39"/>
      <c r="AY49" s="39"/>
      <c r="AZ49" s="36"/>
      <c r="BA49" s="36"/>
      <c r="BB49" s="36"/>
      <c r="BC49" s="39"/>
      <c r="BD49" s="36"/>
      <c r="BE49" s="69">
        <f>+BE47+BE48</f>
        <v>-15249468</v>
      </c>
      <c r="BF49" s="69">
        <f t="shared" ref="BF49:CA49" si="52">+BF47+BF48</f>
        <v>12753072</v>
      </c>
      <c r="BG49" s="69">
        <f t="shared" si="52"/>
        <v>4829866</v>
      </c>
      <c r="BH49" s="69">
        <f>+BH47+BH48</f>
        <v>11157522</v>
      </c>
      <c r="BI49" s="69">
        <f t="shared" si="52"/>
        <v>13490991</v>
      </c>
      <c r="BJ49" s="69">
        <f t="shared" si="52"/>
        <v>13490991</v>
      </c>
      <c r="BK49" s="69">
        <f t="shared" si="52"/>
        <v>91896</v>
      </c>
      <c r="BL49" s="69">
        <f t="shared" si="52"/>
        <v>1798789</v>
      </c>
      <c r="BM49" s="69">
        <f t="shared" si="52"/>
        <v>-1200421</v>
      </c>
      <c r="BN49" s="69">
        <f t="shared" si="52"/>
        <v>3455772</v>
      </c>
      <c r="BO49" s="69">
        <f t="shared" si="52"/>
        <v>4146036</v>
      </c>
      <c r="BP49" s="69">
        <f t="shared" si="52"/>
        <v>4146036</v>
      </c>
      <c r="BQ49" s="69">
        <f t="shared" si="52"/>
        <v>4150462</v>
      </c>
      <c r="BR49" s="69">
        <f t="shared" si="52"/>
        <v>2780486</v>
      </c>
      <c r="BS49" s="69">
        <f t="shared" si="52"/>
        <v>4230620</v>
      </c>
      <c r="BT49" s="69">
        <f t="shared" si="52"/>
        <v>12660049</v>
      </c>
      <c r="BU49" s="69">
        <f t="shared" si="52"/>
        <v>23821617</v>
      </c>
      <c r="BV49" s="69">
        <f t="shared" si="52"/>
        <v>23821617</v>
      </c>
      <c r="BW49" s="69">
        <f t="shared" si="52"/>
        <v>6905318</v>
      </c>
      <c r="BX49" s="69">
        <f t="shared" si="52"/>
        <v>5843122</v>
      </c>
      <c r="BY49" s="69">
        <f t="shared" si="52"/>
        <v>-722630</v>
      </c>
      <c r="BZ49" s="69">
        <f t="shared" si="52"/>
        <v>6537385</v>
      </c>
      <c r="CA49" s="69">
        <f t="shared" si="52"/>
        <v>18563195</v>
      </c>
      <c r="CB49" s="69">
        <f>+CB47+CB48</f>
        <v>18563195</v>
      </c>
      <c r="CC49" s="69">
        <f t="shared" ref="CC49:CH49" si="53">+CC47+CC48</f>
        <v>2738329</v>
      </c>
      <c r="CD49" s="69">
        <f t="shared" si="53"/>
        <v>3379303</v>
      </c>
      <c r="CE49" s="69">
        <f t="shared" si="53"/>
        <v>-2163697</v>
      </c>
      <c r="CF49" s="69">
        <f t="shared" si="53"/>
        <v>3608598</v>
      </c>
      <c r="CG49" s="69">
        <f t="shared" si="53"/>
        <v>7562533</v>
      </c>
      <c r="CH49" s="69">
        <f t="shared" si="53"/>
        <v>7562533</v>
      </c>
      <c r="CI49" s="69">
        <f t="shared" ref="CI49:CM49" si="54">+CI47+CI48</f>
        <v>1706344</v>
      </c>
      <c r="CJ49" s="69">
        <f t="shared" si="54"/>
        <v>6456511</v>
      </c>
      <c r="CK49" s="69">
        <f t="shared" si="54"/>
        <v>4251546</v>
      </c>
      <c r="CL49" s="69">
        <f t="shared" si="54"/>
        <v>16314027</v>
      </c>
      <c r="CM49" s="69">
        <f t="shared" si="54"/>
        <v>28932842</v>
      </c>
    </row>
    <row r="50" spans="2:91" s="51" customFormat="1" ht="12" x14ac:dyDescent="0.3">
      <c r="B50" s="23"/>
      <c r="C50" s="72"/>
      <c r="D50" s="73"/>
      <c r="E50" s="73"/>
      <c r="F50" s="73"/>
      <c r="G50" s="73"/>
      <c r="H50" s="73"/>
      <c r="I50" s="73"/>
      <c r="J50" s="73"/>
      <c r="K50" s="73"/>
      <c r="L50" s="73"/>
      <c r="M50" s="73"/>
      <c r="N50" s="73"/>
      <c r="O50" s="73"/>
      <c r="P50" s="73"/>
      <c r="Q50" s="73"/>
      <c r="R50" s="73"/>
      <c r="S50" s="73"/>
      <c r="T50" s="73"/>
      <c r="U50" s="73"/>
      <c r="V50" s="73"/>
      <c r="W50" s="73"/>
      <c r="X50" s="73"/>
      <c r="Y50" s="73"/>
      <c r="Z50" s="73"/>
      <c r="AA50" s="73"/>
      <c r="AB50" s="74"/>
      <c r="AC50" s="74"/>
      <c r="AD50" s="74"/>
      <c r="AE50" s="74"/>
      <c r="AF50" s="74"/>
      <c r="AG50" s="38"/>
      <c r="AH50" s="38"/>
      <c r="AI50" s="39"/>
      <c r="AJ50" s="39"/>
      <c r="AK50" s="39"/>
      <c r="AL50" s="39"/>
      <c r="AM50" s="38"/>
      <c r="AN50" s="38"/>
      <c r="AO50" s="39"/>
      <c r="AP50" s="39"/>
      <c r="AQ50" s="39"/>
      <c r="AR50" s="39"/>
      <c r="AS50" s="39"/>
      <c r="AT50" s="36"/>
      <c r="AU50" s="36"/>
      <c r="AV50" s="36"/>
      <c r="AW50" s="39"/>
      <c r="AX50" s="39"/>
      <c r="AY50" s="39"/>
      <c r="AZ50" s="36"/>
      <c r="BA50" s="36"/>
      <c r="BB50" s="36"/>
      <c r="BC50" s="39"/>
      <c r="BD50" s="36"/>
      <c r="BE50" s="160"/>
      <c r="BF50" s="160"/>
      <c r="BG50" s="160"/>
      <c r="BH50" s="160"/>
      <c r="BI50" s="160"/>
      <c r="BJ50" s="160"/>
      <c r="BK50" s="160"/>
      <c r="BL50" s="160"/>
      <c r="BM50" s="160"/>
      <c r="BN50" s="160"/>
      <c r="BO50" s="160"/>
      <c r="BP50" s="160"/>
      <c r="BQ50" s="160"/>
      <c r="BR50" s="160"/>
      <c r="BS50" s="160"/>
      <c r="BT50" s="160"/>
      <c r="BU50" s="160"/>
      <c r="BV50" s="160"/>
      <c r="BW50" s="160"/>
      <c r="BX50" s="160"/>
      <c r="BY50" s="160"/>
      <c r="BZ50" s="160"/>
      <c r="CA50" s="160"/>
      <c r="CB50" s="160"/>
      <c r="CC50" s="160"/>
      <c r="CD50" s="160"/>
      <c r="CE50" s="160"/>
      <c r="CF50" s="160"/>
      <c r="CG50" s="160"/>
      <c r="CH50" s="160"/>
      <c r="CI50" s="160"/>
      <c r="CJ50" s="160"/>
      <c r="CK50" s="160"/>
      <c r="CL50" s="160"/>
      <c r="CM50" s="160"/>
    </row>
    <row r="51" spans="2:91" s="51" customFormat="1" ht="12" x14ac:dyDescent="0.3">
      <c r="B51" s="23" t="s">
        <v>80</v>
      </c>
      <c r="C51" s="73">
        <f>C37/C14</f>
        <v>1.0765836937029927</v>
      </c>
      <c r="D51" s="73">
        <f>D37/D14</f>
        <v>0.92065827276958478</v>
      </c>
      <c r="E51" s="73">
        <f>E37/E14</f>
        <v>0.85643708656552275</v>
      </c>
      <c r="F51" s="73">
        <f>F37/F14</f>
        <v>0.60913778280826447</v>
      </c>
      <c r="G51" s="73">
        <f>G37/G14</f>
        <v>0.78058252339541179</v>
      </c>
      <c r="H51" s="73"/>
      <c r="I51" s="73">
        <f>I37/I14</f>
        <v>0.717251180534907</v>
      </c>
      <c r="J51" s="73">
        <f>J37/J14</f>
        <v>0.7584286016395686</v>
      </c>
      <c r="K51" s="73">
        <f>K37/K14</f>
        <v>1.1226140821410504</v>
      </c>
      <c r="L51" s="73">
        <f>L37/L14</f>
        <v>0.55713026978895208</v>
      </c>
      <c r="M51" s="73">
        <f>M37/M14</f>
        <v>0.82039815376968739</v>
      </c>
      <c r="N51" s="73"/>
      <c r="O51" s="73">
        <f>O37/O14</f>
        <v>1.1894759666695764</v>
      </c>
      <c r="P51" s="73">
        <f>P37/P14</f>
        <v>0.44812991648948164</v>
      </c>
      <c r="Q51" s="73">
        <f>Q37/Q14</f>
        <v>0.8263413576843881</v>
      </c>
      <c r="R51" s="73">
        <f>R37/R14</f>
        <v>5.8535137158223876</v>
      </c>
      <c r="S51" s="73">
        <f>S37/S14</f>
        <v>2.3245788660234799</v>
      </c>
      <c r="T51" s="73"/>
      <c r="U51" s="73">
        <f>U37/U14</f>
        <v>0.62107149651077809</v>
      </c>
      <c r="V51" s="73">
        <f>V37/V14</f>
        <v>0.86900654306369152</v>
      </c>
      <c r="W51" s="73">
        <f>W37/W14</f>
        <v>0.3267456221768455</v>
      </c>
      <c r="X51" s="73">
        <f>X37/X14</f>
        <v>1.0717329943779212</v>
      </c>
      <c r="Y51" s="73">
        <f>Y37/Y14</f>
        <v>0.73013290752469329</v>
      </c>
      <c r="Z51" s="73"/>
      <c r="AA51" s="73">
        <f>AA37/AA14</f>
        <v>0.62590462736047869</v>
      </c>
      <c r="AB51" s="73">
        <f>AB37/AB14</f>
        <v>0.53542759809692486</v>
      </c>
      <c r="AC51" s="73">
        <f>AC37/AC14</f>
        <v>8.2325635654825022E-2</v>
      </c>
      <c r="AD51" s="73">
        <f>AD37/AD14</f>
        <v>0.88555001523143773</v>
      </c>
      <c r="AE51" s="73">
        <f>AE37/AE14</f>
        <v>0.53468941758798849</v>
      </c>
      <c r="AF51" s="73"/>
      <c r="AG51" s="73">
        <f>AG37/AG14</f>
        <v>0.87250048122952806</v>
      </c>
      <c r="AH51" s="73">
        <f>AH37/AH14</f>
        <v>0.73575625471168049</v>
      </c>
      <c r="AI51" s="73">
        <f>AI37/AI14</f>
        <v>0.39321246762525675</v>
      </c>
      <c r="AJ51" s="73">
        <f>AJ37/AJ14</f>
        <v>1.6869477326070277</v>
      </c>
      <c r="AK51" s="73">
        <f>AK37/AK14</f>
        <v>0.9351885722978186</v>
      </c>
      <c r="AL51" s="73"/>
      <c r="AM51" s="73">
        <f>AM37/AM14</f>
        <v>1.4133663602473876</v>
      </c>
      <c r="AN51" s="73">
        <f>AN37/AN14</f>
        <v>0.98258462996109563</v>
      </c>
      <c r="AO51" s="73">
        <f>AO37/AO14</f>
        <v>0.57955751704683001</v>
      </c>
      <c r="AP51" s="73">
        <f>AP37/AP14</f>
        <v>0.39253153996163281</v>
      </c>
      <c r="AQ51" s="73">
        <f>AQ37/AQ14</f>
        <v>0.83154915628898474</v>
      </c>
      <c r="AR51" s="73"/>
      <c r="AS51" s="73">
        <f>AS37/AS14</f>
        <v>1.167037148178389</v>
      </c>
      <c r="AT51" s="73">
        <f>AT37/AT14</f>
        <v>0.2045031259462827</v>
      </c>
      <c r="AU51" s="73">
        <f>AU37/AU14</f>
        <v>1.0546619354956002</v>
      </c>
      <c r="AV51" s="73">
        <f>AV37/AV14</f>
        <v>1.551835984688573</v>
      </c>
      <c r="AW51" s="73">
        <f>AW37/AW14</f>
        <v>1.0038141633003739</v>
      </c>
      <c r="AX51" s="73"/>
      <c r="AY51" s="73">
        <f>AY37/AY14</f>
        <v>0.9262787488070775</v>
      </c>
      <c r="AZ51" s="73">
        <f>AZ37/AZ14</f>
        <v>1.1554844735077696</v>
      </c>
      <c r="BA51" s="73">
        <f>BA37/BA14</f>
        <v>0.41427419465059384</v>
      </c>
      <c r="BB51" s="73">
        <f>BB37/BB14</f>
        <v>1.3778419081027453</v>
      </c>
      <c r="BC51" s="74">
        <f>BC37/BC14</f>
        <v>0.97581578025380367</v>
      </c>
      <c r="BD51" s="159"/>
      <c r="BE51" s="159">
        <v>-2.9132773366746387</v>
      </c>
      <c r="BF51" s="159">
        <v>3.1077230821416331</v>
      </c>
      <c r="BG51" s="159">
        <f t="shared" ref="BG51:BV51" si="55">BG37/BG14</f>
        <v>1.0010671989061155</v>
      </c>
      <c r="BH51" s="159">
        <f t="shared" si="55"/>
        <v>2.1423165538107347</v>
      </c>
      <c r="BI51" s="159">
        <f t="shared" si="55"/>
        <v>0.72729969700261576</v>
      </c>
      <c r="BJ51" s="159">
        <f t="shared" si="55"/>
        <v>0.72729969700261576</v>
      </c>
      <c r="BK51" s="159">
        <f t="shared" si="55"/>
        <v>-6.3035156327206618E-2</v>
      </c>
      <c r="BL51" s="159">
        <f t="shared" si="55"/>
        <v>0.28742234009504408</v>
      </c>
      <c r="BM51" s="159">
        <f t="shared" si="55"/>
        <v>-9.9844576659513906E-2</v>
      </c>
      <c r="BN51" s="159">
        <f t="shared" si="55"/>
        <v>0.57888563715186792</v>
      </c>
      <c r="BO51" s="159">
        <f t="shared" si="55"/>
        <v>0.18336720487592795</v>
      </c>
      <c r="BP51" s="159">
        <f t="shared" si="55"/>
        <v>0.18336719449844091</v>
      </c>
      <c r="BQ51" s="159">
        <f t="shared" si="55"/>
        <v>0.7457957039505424</v>
      </c>
      <c r="BR51" s="159">
        <f t="shared" si="55"/>
        <v>0.45159001634799228</v>
      </c>
      <c r="BS51" s="159">
        <f t="shared" si="55"/>
        <v>0.72872795499554954</v>
      </c>
      <c r="BT51" s="159">
        <f>BT37/BT14</f>
        <v>2.042639877873297</v>
      </c>
      <c r="BU51" s="159">
        <f t="shared" si="55"/>
        <v>1.0082090949188656</v>
      </c>
      <c r="BV51" s="159">
        <f t="shared" si="55"/>
        <v>1.0082090108957955</v>
      </c>
      <c r="BW51" s="159">
        <f>BW37/BW14</f>
        <v>1.0457465836238167</v>
      </c>
      <c r="BX51" s="159">
        <f>BX37/BX14</f>
        <v>0.88135064925398132</v>
      </c>
      <c r="BY51" s="159">
        <f>BY37/BY14</f>
        <v>-1.1423343763259696E-2</v>
      </c>
      <c r="BZ51" s="159">
        <f>BZ37/BZ14</f>
        <v>0.89412829304782748</v>
      </c>
      <c r="CA51" s="159">
        <f>CA37/CA14</f>
        <v>0.70398847741041226</v>
      </c>
      <c r="CB51" s="159">
        <f t="shared" ref="CB51:CF51" si="56">CB37/CB14</f>
        <v>0.70398847741041226</v>
      </c>
      <c r="CC51" s="159">
        <f t="shared" si="56"/>
        <v>0.40583622091323485</v>
      </c>
      <c r="CD51" s="159">
        <f t="shared" si="56"/>
        <v>0.62081973044218774</v>
      </c>
      <c r="CE51" s="159">
        <f t="shared" si="56"/>
        <v>-0.14390695980354257</v>
      </c>
      <c r="CF51" s="159">
        <f t="shared" si="56"/>
        <v>0.53650221179841007</v>
      </c>
      <c r="CG51" s="159">
        <f>CG37/CG14</f>
        <v>0.35329472833510395</v>
      </c>
      <c r="CH51" s="159">
        <f t="shared" ref="CH51:CL51" si="57">CH37/CH14</f>
        <v>0.35329472833510395</v>
      </c>
      <c r="CI51" s="159">
        <f t="shared" si="57"/>
        <v>0.20851256821532882</v>
      </c>
      <c r="CJ51" s="159">
        <f t="shared" si="57"/>
        <v>0.72323219456845367</v>
      </c>
      <c r="CK51" s="159">
        <f t="shared" si="57"/>
        <v>0.4931915151470051</v>
      </c>
      <c r="CL51" s="159">
        <f t="shared" si="57"/>
        <v>2.0733153175282473</v>
      </c>
      <c r="CM51" s="159">
        <f>CM37/CM14</f>
        <v>0.88660671809704328</v>
      </c>
    </row>
    <row r="52" spans="2:91" ht="12" x14ac:dyDescent="0.3">
      <c r="B52" s="23" t="s">
        <v>83</v>
      </c>
      <c r="C52" s="63">
        <v>422575223</v>
      </c>
      <c r="D52" s="38">
        <v>422575223</v>
      </c>
      <c r="E52" s="38">
        <v>422575223</v>
      </c>
      <c r="F52" s="38">
        <v>422575223</v>
      </c>
      <c r="G52" s="38">
        <v>422575223</v>
      </c>
      <c r="H52" s="38"/>
      <c r="I52" s="38">
        <v>796325223</v>
      </c>
      <c r="J52" s="38">
        <v>842282890</v>
      </c>
      <c r="K52" s="38">
        <v>842282890</v>
      </c>
      <c r="L52" s="38">
        <v>842282890</v>
      </c>
      <c r="M52" s="38">
        <v>842282890</v>
      </c>
      <c r="N52" s="38"/>
      <c r="O52" s="38">
        <v>1572311334</v>
      </c>
      <c r="P52" s="38">
        <v>1618164263</v>
      </c>
      <c r="Q52" s="38">
        <v>1809013266</v>
      </c>
      <c r="R52" s="38">
        <v>1809013266</v>
      </c>
      <c r="S52" s="38">
        <v>1809013266</v>
      </c>
      <c r="T52" s="38"/>
      <c r="U52" s="38">
        <v>1893424876</v>
      </c>
      <c r="V52" s="38">
        <v>2776965881</v>
      </c>
      <c r="W52" s="38">
        <v>2878386926</v>
      </c>
      <c r="X52" s="38">
        <v>2878386926</v>
      </c>
      <c r="Y52" s="38">
        <v>2878386926</v>
      </c>
      <c r="Z52" s="38">
        <v>2878386926</v>
      </c>
      <c r="AA52" s="38">
        <v>2988760286</v>
      </c>
      <c r="AB52" s="39">
        <v>3030150972</v>
      </c>
      <c r="AC52" s="75">
        <v>3040340391</v>
      </c>
      <c r="AD52" s="75">
        <v>3197579138</v>
      </c>
      <c r="AE52" s="39">
        <v>3197579138</v>
      </c>
      <c r="AF52" s="39">
        <v>3197579138</v>
      </c>
      <c r="AG52" s="38">
        <v>3202639639</v>
      </c>
      <c r="AH52" s="38">
        <v>3220900751</v>
      </c>
      <c r="AI52" s="39">
        <v>3220900751</v>
      </c>
      <c r="AJ52" s="39">
        <v>3249305750</v>
      </c>
      <c r="AK52" s="39">
        <v>3249305750</v>
      </c>
      <c r="AL52" s="39">
        <v>3249305750</v>
      </c>
      <c r="AM52" s="38">
        <v>3249305750</v>
      </c>
      <c r="AN52" s="38">
        <v>3289543506</v>
      </c>
      <c r="AO52" s="39">
        <v>3326983408</v>
      </c>
      <c r="AP52" s="39">
        <v>3956776551</v>
      </c>
      <c r="AQ52" s="39">
        <v>3956776551</v>
      </c>
      <c r="AR52" s="39">
        <v>3956776551</v>
      </c>
      <c r="AS52" s="39">
        <v>3964259186</v>
      </c>
      <c r="AT52" s="36">
        <v>3938304777</v>
      </c>
      <c r="AU52" s="36">
        <v>3925323970</v>
      </c>
      <c r="AV52" s="36">
        <v>3890114426</v>
      </c>
      <c r="AW52" s="39">
        <v>3890114426</v>
      </c>
      <c r="AX52" s="36">
        <v>3890114426</v>
      </c>
      <c r="AY52" s="36">
        <v>3890114426</v>
      </c>
      <c r="AZ52" s="36">
        <v>3890114426</v>
      </c>
      <c r="BA52" s="36">
        <v>3928194243</v>
      </c>
      <c r="BB52" s="36">
        <v>3928194243</v>
      </c>
      <c r="BC52" s="36">
        <v>3928194243</v>
      </c>
      <c r="BD52" s="36">
        <v>3928194243</v>
      </c>
      <c r="BE52" s="36">
        <v>3928194243</v>
      </c>
      <c r="BF52" s="36">
        <v>3928194243</v>
      </c>
      <c r="BG52" s="36">
        <v>3874466823</v>
      </c>
      <c r="BH52" s="36">
        <v>3872415403</v>
      </c>
      <c r="BI52" s="36">
        <f>BH52</f>
        <v>3872415403</v>
      </c>
      <c r="BJ52" s="36">
        <v>3872415403</v>
      </c>
      <c r="BK52" s="36">
        <v>3818072916</v>
      </c>
      <c r="BL52" s="36">
        <f>'[5]IS (MXN)'!$BG$37</f>
        <v>3799999999</v>
      </c>
      <c r="BM52" s="36">
        <v>3799999999</v>
      </c>
      <c r="BN52" s="36">
        <v>3799999999</v>
      </c>
      <c r="BO52" s="36">
        <f>BN52</f>
        <v>3799999999</v>
      </c>
      <c r="BP52" s="36">
        <v>3799999999</v>
      </c>
      <c r="BQ52" s="36">
        <v>3779000000</v>
      </c>
      <c r="BR52" s="36">
        <v>3801382093</v>
      </c>
      <c r="BS52" s="36">
        <v>3779000000</v>
      </c>
      <c r="BT52" s="36">
        <v>3779000000</v>
      </c>
      <c r="BU52" s="36">
        <f>BT52</f>
        <v>3779000000</v>
      </c>
      <c r="BV52" s="36">
        <v>3779000000</v>
      </c>
      <c r="BW52" s="36">
        <v>3779000000</v>
      </c>
      <c r="BX52" s="36">
        <v>3807288235</v>
      </c>
      <c r="BY52" s="36">
        <v>3807288235</v>
      </c>
      <c r="BZ52" s="36">
        <v>3807288235</v>
      </c>
      <c r="CA52" s="36">
        <v>3807288235</v>
      </c>
      <c r="CB52" s="36">
        <v>3807288235</v>
      </c>
      <c r="CC52" s="36">
        <v>3807288235</v>
      </c>
      <c r="CD52" s="36">
        <v>3814458064</v>
      </c>
      <c r="CE52" s="36">
        <v>3814458064</v>
      </c>
      <c r="CF52" s="36">
        <v>3814458064</v>
      </c>
      <c r="CG52" s="36">
        <f>+CF52</f>
        <v>3814458064</v>
      </c>
      <c r="CH52" s="36">
        <f>+CG52</f>
        <v>3814458064</v>
      </c>
      <c r="CI52" s="36">
        <v>3805319648</v>
      </c>
      <c r="CJ52" s="36">
        <v>3805319648</v>
      </c>
      <c r="CK52" s="160">
        <v>3805319648</v>
      </c>
      <c r="CL52" s="36">
        <v>3810649852</v>
      </c>
      <c r="CM52" s="36">
        <f>CL52</f>
        <v>3810649852</v>
      </c>
    </row>
    <row r="53" spans="2:91" ht="12" x14ac:dyDescent="0.3">
      <c r="B53" s="23" t="s">
        <v>84</v>
      </c>
      <c r="C53" s="63">
        <v>400000000</v>
      </c>
      <c r="D53" s="38">
        <v>415628846</v>
      </c>
      <c r="E53" s="38">
        <v>422575000</v>
      </c>
      <c r="F53" s="38">
        <v>422575000</v>
      </c>
      <c r="G53" s="38">
        <v>419294204</v>
      </c>
      <c r="H53" s="38"/>
      <c r="I53" s="38">
        <v>463646429</v>
      </c>
      <c r="J53" s="38">
        <v>796325000</v>
      </c>
      <c r="K53" s="38">
        <v>813309478</v>
      </c>
      <c r="L53" s="38">
        <v>842283000</v>
      </c>
      <c r="M53" s="38">
        <v>729431443</v>
      </c>
      <c r="N53" s="38"/>
      <c r="O53" s="38">
        <v>1318040822</v>
      </c>
      <c r="P53" s="38">
        <v>1572311000</v>
      </c>
      <c r="Q53" s="38">
        <v>1763385663</v>
      </c>
      <c r="R53" s="38">
        <v>1805267293</v>
      </c>
      <c r="S53" s="38">
        <v>1616493279</v>
      </c>
      <c r="T53" s="38"/>
      <c r="U53" s="38">
        <v>1809013000</v>
      </c>
      <c r="V53" s="38">
        <v>2018504209</v>
      </c>
      <c r="W53" s="38">
        <v>2806730859</v>
      </c>
      <c r="X53" s="38">
        <v>2878386926</v>
      </c>
      <c r="Y53" s="38">
        <v>2382262729</v>
      </c>
      <c r="Z53" s="38"/>
      <c r="AA53" s="38">
        <v>2914109592.6666665</v>
      </c>
      <c r="AB53" s="39">
        <v>2994583943.1868134</v>
      </c>
      <c r="AC53" s="75">
        <v>3035389289.5300002</v>
      </c>
      <c r="AD53" s="75">
        <v>3142802763</v>
      </c>
      <c r="AE53" s="39">
        <v>3021721397.09587</v>
      </c>
      <c r="AF53" s="39"/>
      <c r="AG53" s="38">
        <v>3199525484.5384617</v>
      </c>
      <c r="AH53" s="38">
        <v>3210023330</v>
      </c>
      <c r="AI53" s="39">
        <v>3220900751</v>
      </c>
      <c r="AJ53" s="39">
        <v>3239352435</v>
      </c>
      <c r="AK53" s="39">
        <v>3217450500.1346154</v>
      </c>
      <c r="AL53" s="39"/>
      <c r="AM53" s="38">
        <v>3249305750</v>
      </c>
      <c r="AN53" s="38">
        <v>3271849049</v>
      </c>
      <c r="AO53" s="39">
        <v>3324948630.7173901</v>
      </c>
      <c r="AP53" s="39">
        <v>3745194666.6847801</v>
      </c>
      <c r="AQ53" s="39">
        <v>3397824524.1005425</v>
      </c>
      <c r="AR53" s="39"/>
      <c r="AS53" s="39">
        <v>3960019026.1666665</v>
      </c>
      <c r="AT53" s="36">
        <v>3948495104</v>
      </c>
      <c r="AU53" s="36">
        <v>3935695751.173913</v>
      </c>
      <c r="AV53" s="36">
        <v>3898759194</v>
      </c>
      <c r="AW53" s="39">
        <v>3935742268.8351445</v>
      </c>
      <c r="AX53" s="36"/>
      <c r="AY53" s="36">
        <v>3890114426</v>
      </c>
      <c r="AZ53" s="36">
        <v>3890114426</v>
      </c>
      <c r="BA53" s="36">
        <v>3914949089.26087</v>
      </c>
      <c r="BB53" s="36">
        <v>3928194243</v>
      </c>
      <c r="BC53" s="36">
        <v>3928194243</v>
      </c>
      <c r="BD53" s="36"/>
      <c r="BE53" s="36">
        <v>3928194243</v>
      </c>
      <c r="BF53" s="36">
        <v>3928194243</v>
      </c>
      <c r="BG53" s="36">
        <v>3911846324.728261</v>
      </c>
      <c r="BH53" s="36">
        <v>3869440763.5434785</v>
      </c>
      <c r="BI53" s="36">
        <f>BH53</f>
        <v>3869440763.5434785</v>
      </c>
      <c r="BJ53" s="36">
        <f>BI53</f>
        <v>3869440763.5434785</v>
      </c>
      <c r="BK53" s="36">
        <v>3842741324.6666665</v>
      </c>
      <c r="BL53" s="36">
        <f>'[5]IS (MXN)'!$BG$38</f>
        <v>3803911416.4505496</v>
      </c>
      <c r="BM53" s="36">
        <v>3800731966.554348</v>
      </c>
      <c r="BN53" s="36">
        <v>3799999999</v>
      </c>
      <c r="BO53" s="36">
        <v>3811846177</v>
      </c>
      <c r="BP53" s="36">
        <v>3811846177</v>
      </c>
      <c r="BQ53" s="36">
        <v>3783569390.9444447</v>
      </c>
      <c r="BR53" s="36">
        <v>3784032552.9340658</v>
      </c>
      <c r="BS53" s="36">
        <v>3782927424</v>
      </c>
      <c r="BT53" s="36">
        <f>BT52</f>
        <v>3779000000</v>
      </c>
      <c r="BU53" s="36">
        <v>3782382342</v>
      </c>
      <c r="BV53" s="36">
        <v>3782382342</v>
      </c>
      <c r="BW53" s="36">
        <f>BW52</f>
        <v>3779000000</v>
      </c>
      <c r="BX53" s="36">
        <v>3790812670</v>
      </c>
      <c r="BY53" s="36">
        <v>3807288235</v>
      </c>
      <c r="BZ53" s="36">
        <v>3807288235</v>
      </c>
      <c r="CA53" s="36">
        <f>AVERAGE(BW53,BX53,BY53,BZ53)</f>
        <v>3796097285</v>
      </c>
      <c r="CB53" s="36">
        <f>AVERAGE(BW53,BX53,BY53,BZ53)</f>
        <v>3796097285</v>
      </c>
      <c r="CC53" s="36">
        <v>3807288235</v>
      </c>
      <c r="CD53" s="36">
        <v>3810282230</v>
      </c>
      <c r="CE53" s="36">
        <v>3814458064</v>
      </c>
      <c r="CF53" s="36">
        <v>3814458064</v>
      </c>
      <c r="CG53" s="36">
        <f>AVERAGE(CC53,CF53,CD53,CE53)</f>
        <v>3811621648.25</v>
      </c>
      <c r="CH53" s="36">
        <f>AVERAGE(CC53,CD53,CE53,CF53)</f>
        <v>3811621648.25</v>
      </c>
      <c r="CI53" s="36">
        <v>3805319648</v>
      </c>
      <c r="CJ53" s="36">
        <v>3805319648</v>
      </c>
      <c r="CK53" s="160">
        <v>3805319648</v>
      </c>
      <c r="CL53" s="160">
        <v>3809722860</v>
      </c>
      <c r="CM53" s="36">
        <f>AVERAGE(CI53,CL53,CJ53,CK53)</f>
        <v>3806420451</v>
      </c>
    </row>
    <row r="54" spans="2:91" ht="15" thickBot="1" x14ac:dyDescent="0.4">
      <c r="C54" s="63"/>
      <c r="D54" s="38"/>
      <c r="E54" s="38"/>
      <c r="F54" s="38"/>
      <c r="G54" s="38"/>
      <c r="H54" s="38"/>
      <c r="I54" s="38"/>
      <c r="J54" s="38"/>
      <c r="K54" s="38"/>
      <c r="L54" s="38"/>
      <c r="M54" s="38"/>
      <c r="N54" s="38"/>
      <c r="O54" s="38"/>
      <c r="P54" s="38"/>
      <c r="Q54" s="38"/>
      <c r="R54" s="38"/>
      <c r="S54" s="38"/>
      <c r="T54" s="38"/>
      <c r="U54" s="38"/>
      <c r="V54" s="38"/>
      <c r="W54" s="38"/>
      <c r="X54" s="38"/>
      <c r="Y54" s="38"/>
      <c r="Z54" s="38"/>
      <c r="AA54" s="38"/>
      <c r="AB54" s="39"/>
      <c r="AC54" s="39"/>
      <c r="AD54" s="39"/>
      <c r="AE54" s="39"/>
      <c r="AF54" s="39"/>
      <c r="AG54" s="38"/>
      <c r="AH54" s="36"/>
      <c r="AI54" s="36"/>
      <c r="AJ54" s="36"/>
      <c r="AK54" s="47"/>
      <c r="AL54" s="47"/>
      <c r="AM54" s="38"/>
      <c r="AN54" s="36"/>
      <c r="AO54" s="36"/>
      <c r="AP54" s="36"/>
      <c r="AQ54" s="47"/>
      <c r="AR54" s="47"/>
      <c r="AS54" s="36"/>
      <c r="AT54" s="36"/>
      <c r="AU54" s="36"/>
      <c r="AV54" s="36"/>
      <c r="AW54" s="47"/>
      <c r="AX54" s="47"/>
      <c r="AY54" s="36"/>
      <c r="AZ54" s="36"/>
      <c r="BA54" s="36"/>
      <c r="BB54" s="36"/>
      <c r="BC54" s="62"/>
      <c r="BD54" s="62"/>
      <c r="BE54" s="36"/>
      <c r="BF54" s="36"/>
      <c r="BG54" s="36"/>
      <c r="BH54" s="36"/>
      <c r="BI54" s="62"/>
      <c r="BJ54" s="62"/>
      <c r="BK54" s="36"/>
      <c r="BL54" s="36"/>
      <c r="BM54" s="36"/>
      <c r="BN54" s="36"/>
      <c r="BO54" s="62"/>
      <c r="BP54" s="62"/>
      <c r="BQ54" s="36"/>
      <c r="BR54" s="36"/>
      <c r="BS54" s="36"/>
      <c r="BT54" s="36"/>
      <c r="BU54" s="62"/>
      <c r="BV54" s="62"/>
      <c r="BW54" s="36"/>
      <c r="BX54" s="36"/>
      <c r="BY54" s="36"/>
      <c r="BZ54" s="36"/>
      <c r="CA54" s="36"/>
      <c r="CB54" s="62"/>
      <c r="CC54" s="36"/>
      <c r="CD54" s="36"/>
      <c r="CE54" s="36"/>
      <c r="CF54" s="36"/>
      <c r="CG54" s="62"/>
      <c r="CH54" s="62"/>
      <c r="CI54" s="36"/>
      <c r="CJ54" s="36"/>
      <c r="CK54" s="36"/>
      <c r="CL54" s="36"/>
      <c r="CM54" s="62"/>
    </row>
    <row r="55" spans="2:91" ht="13" thickTop="1" thickBot="1" x14ac:dyDescent="0.35">
      <c r="B55" s="31" t="s">
        <v>245</v>
      </c>
      <c r="C55" s="32" t="s">
        <v>198</v>
      </c>
      <c r="D55" s="32" t="s">
        <v>202</v>
      </c>
      <c r="E55" s="32" t="s">
        <v>205</v>
      </c>
      <c r="F55" s="32" t="s">
        <v>208</v>
      </c>
      <c r="G55" s="34" t="s">
        <v>61</v>
      </c>
      <c r="H55" s="166">
        <v>2011</v>
      </c>
      <c r="I55" s="32" t="s">
        <v>199</v>
      </c>
      <c r="J55" s="32" t="s">
        <v>203</v>
      </c>
      <c r="K55" s="32" t="s">
        <v>206</v>
      </c>
      <c r="L55" s="32" t="s">
        <v>209</v>
      </c>
      <c r="M55" s="34" t="s">
        <v>62</v>
      </c>
      <c r="N55" s="166">
        <v>2012</v>
      </c>
      <c r="O55" s="32" t="s">
        <v>200</v>
      </c>
      <c r="P55" s="32" t="s">
        <v>204</v>
      </c>
      <c r="Q55" s="32" t="s">
        <v>207</v>
      </c>
      <c r="R55" s="32" t="s">
        <v>210</v>
      </c>
      <c r="S55" s="34">
        <v>2013</v>
      </c>
      <c r="T55" s="166">
        <v>2013</v>
      </c>
      <c r="U55" s="32" t="s">
        <v>201</v>
      </c>
      <c r="V55" s="32" t="s">
        <v>20</v>
      </c>
      <c r="W55" s="32" t="s">
        <v>19</v>
      </c>
      <c r="X55" s="32" t="s">
        <v>18</v>
      </c>
      <c r="Y55" s="34">
        <v>2014</v>
      </c>
      <c r="Z55" s="166">
        <v>2014</v>
      </c>
      <c r="AA55" s="32" t="s">
        <v>17</v>
      </c>
      <c r="AB55" s="32" t="s">
        <v>16</v>
      </c>
      <c r="AC55" s="32" t="s">
        <v>15</v>
      </c>
      <c r="AD55" s="32" t="s">
        <v>14</v>
      </c>
      <c r="AE55" s="34">
        <v>2015</v>
      </c>
      <c r="AF55" s="166">
        <v>2015</v>
      </c>
      <c r="AG55" s="32" t="s">
        <v>13</v>
      </c>
      <c r="AH55" s="32" t="s">
        <v>12</v>
      </c>
      <c r="AI55" s="32" t="s">
        <v>11</v>
      </c>
      <c r="AJ55" s="32" t="s">
        <v>10</v>
      </c>
      <c r="AK55" s="34">
        <v>2016</v>
      </c>
      <c r="AL55" s="166">
        <v>2016</v>
      </c>
      <c r="AM55" s="32" t="s">
        <v>9</v>
      </c>
      <c r="AN55" s="32" t="s">
        <v>8</v>
      </c>
      <c r="AO55" s="32" t="s">
        <v>29</v>
      </c>
      <c r="AP55" s="32" t="s">
        <v>30</v>
      </c>
      <c r="AQ55" s="34">
        <v>2017</v>
      </c>
      <c r="AR55" s="166">
        <v>2017</v>
      </c>
      <c r="AS55" s="32" t="s">
        <v>7</v>
      </c>
      <c r="AT55" s="32" t="s">
        <v>6</v>
      </c>
      <c r="AU55" s="32" t="s">
        <v>5</v>
      </c>
      <c r="AV55" s="32" t="s">
        <v>4</v>
      </c>
      <c r="AW55" s="34">
        <v>2018</v>
      </c>
      <c r="AX55" s="166">
        <v>2018</v>
      </c>
      <c r="AY55" s="32" t="s">
        <v>3</v>
      </c>
      <c r="AZ55" s="32" t="s">
        <v>2</v>
      </c>
      <c r="BA55" s="32" t="s">
        <v>1</v>
      </c>
      <c r="BB55" s="32" t="s">
        <v>45</v>
      </c>
      <c r="BC55" s="34">
        <v>2019</v>
      </c>
      <c r="BD55" s="166">
        <v>2019</v>
      </c>
      <c r="BE55" s="32" t="s">
        <v>283</v>
      </c>
      <c r="BF55" s="32" t="s">
        <v>284</v>
      </c>
      <c r="BG55" s="32" t="s">
        <v>285</v>
      </c>
      <c r="BH55" s="32" t="s">
        <v>286</v>
      </c>
      <c r="BI55" s="34">
        <v>2020</v>
      </c>
      <c r="BJ55" s="166">
        <v>2020</v>
      </c>
      <c r="BK55" s="32" t="s">
        <v>302</v>
      </c>
      <c r="BL55" s="32" t="s">
        <v>305</v>
      </c>
      <c r="BM55" s="32" t="s">
        <v>310</v>
      </c>
      <c r="BN55" s="32" t="s">
        <v>310</v>
      </c>
      <c r="BO55" s="34">
        <f>+BO3</f>
        <v>2021</v>
      </c>
      <c r="BP55" s="166">
        <v>2021</v>
      </c>
      <c r="BQ55" s="32" t="s">
        <v>318</v>
      </c>
      <c r="BR55" s="32" t="s">
        <v>329</v>
      </c>
      <c r="BS55" s="167" t="str">
        <f>+BS3</f>
        <v>3T22</v>
      </c>
      <c r="BT55" s="32" t="s">
        <v>350</v>
      </c>
      <c r="BU55" s="34">
        <v>2022</v>
      </c>
      <c r="BV55" s="166">
        <v>2022</v>
      </c>
      <c r="BW55" s="32" t="str">
        <f t="shared" ref="BW55:CG55" si="58">+BW3</f>
        <v>1T23</v>
      </c>
      <c r="BX55" s="32" t="str">
        <f t="shared" si="58"/>
        <v>2T23</v>
      </c>
      <c r="BY55" s="167" t="str">
        <f t="shared" si="58"/>
        <v>3T23</v>
      </c>
      <c r="BZ55" s="32" t="str">
        <f t="shared" si="58"/>
        <v>4T23</v>
      </c>
      <c r="CA55" s="34">
        <f t="shared" si="58"/>
        <v>2023</v>
      </c>
      <c r="CB55" s="166" t="str">
        <f t="shared" si="58"/>
        <v>2023 (A)</v>
      </c>
      <c r="CC55" s="32" t="str">
        <f t="shared" si="58"/>
        <v>1T24</v>
      </c>
      <c r="CD55" s="32" t="str">
        <f t="shared" si="58"/>
        <v>2T24</v>
      </c>
      <c r="CE55" s="167" t="str">
        <f t="shared" si="58"/>
        <v>3T24</v>
      </c>
      <c r="CF55" s="32" t="str">
        <f t="shared" si="58"/>
        <v>4T24</v>
      </c>
      <c r="CG55" s="34">
        <f t="shared" si="58"/>
        <v>2024</v>
      </c>
      <c r="CH55" s="166" t="str">
        <f t="shared" ref="CH55:CM55" si="59">+CH3</f>
        <v>2024 (A)</v>
      </c>
      <c r="CI55" s="32" t="str">
        <f t="shared" si="59"/>
        <v>1T25</v>
      </c>
      <c r="CJ55" s="32" t="str">
        <f t="shared" si="59"/>
        <v>2T25</v>
      </c>
      <c r="CK55" s="167" t="str">
        <f t="shared" si="59"/>
        <v>3T25</v>
      </c>
      <c r="CL55" s="32" t="str">
        <f t="shared" si="59"/>
        <v>4T25</v>
      </c>
      <c r="CM55" s="34">
        <f t="shared" si="59"/>
        <v>2025</v>
      </c>
    </row>
    <row r="56" spans="2:91" ht="12.5" thickTop="1" x14ac:dyDescent="0.3">
      <c r="B56" s="108" t="s">
        <v>85</v>
      </c>
      <c r="C56" s="76"/>
      <c r="D56" s="77"/>
      <c r="E56" s="77"/>
      <c r="F56" s="77"/>
      <c r="G56" s="77"/>
      <c r="H56" s="77">
        <f>+H14</f>
        <v>531722.85</v>
      </c>
      <c r="I56" s="77">
        <v>198427</v>
      </c>
      <c r="J56" s="77">
        <v>401935</v>
      </c>
      <c r="K56" s="77">
        <v>523855</v>
      </c>
      <c r="L56" s="77">
        <v>429002</v>
      </c>
      <c r="M56" s="77">
        <v>1553219</v>
      </c>
      <c r="N56" s="77">
        <f>+N14</f>
        <v>1553219</v>
      </c>
      <c r="O56" s="77">
        <v>710222</v>
      </c>
      <c r="P56" s="77">
        <v>949102</v>
      </c>
      <c r="Q56" s="77">
        <v>1061145</v>
      </c>
      <c r="R56" s="77">
        <v>1183633</v>
      </c>
      <c r="S56" s="77">
        <v>3904102</v>
      </c>
      <c r="T56" s="77">
        <f>+T14</f>
        <v>3904102</v>
      </c>
      <c r="U56" s="77">
        <v>1697943</v>
      </c>
      <c r="V56" s="77">
        <v>1982099</v>
      </c>
      <c r="W56" s="77">
        <v>2020125</v>
      </c>
      <c r="X56" s="77">
        <v>2121813</v>
      </c>
      <c r="Y56" s="77">
        <v>7821980</v>
      </c>
      <c r="Z56" s="77">
        <f>+Z14</f>
        <v>7821980</v>
      </c>
      <c r="AA56" s="77">
        <v>2225502</v>
      </c>
      <c r="AB56" s="77">
        <v>2509202</v>
      </c>
      <c r="AC56" s="77">
        <v>2871645</v>
      </c>
      <c r="AD56" s="77">
        <v>3118550</v>
      </c>
      <c r="AE56" s="81">
        <v>10724899</v>
      </c>
      <c r="AF56" s="81">
        <f>+AF14</f>
        <v>10724899</v>
      </c>
      <c r="AG56" s="77">
        <v>3174161</v>
      </c>
      <c r="AH56" s="77">
        <v>3187557</v>
      </c>
      <c r="AI56" s="77">
        <v>3359100</v>
      </c>
      <c r="AJ56" s="77">
        <v>3532030</v>
      </c>
      <c r="AK56" s="81">
        <v>13252848</v>
      </c>
      <c r="AL56" s="81">
        <f>+AL14</f>
        <v>13252848</v>
      </c>
      <c r="AM56" s="77">
        <v>3563962</v>
      </c>
      <c r="AN56" s="77">
        <v>3580056</v>
      </c>
      <c r="AO56" s="77">
        <v>3573245</v>
      </c>
      <c r="AP56" s="77">
        <v>3903857</v>
      </c>
      <c r="AQ56" s="81">
        <v>14621120</v>
      </c>
      <c r="AR56" s="81">
        <f>+AR14</f>
        <v>14621120</v>
      </c>
      <c r="AS56" s="77">
        <v>4129806</v>
      </c>
      <c r="AT56" s="77">
        <v>4215178</v>
      </c>
      <c r="AU56" s="77">
        <v>4345347</v>
      </c>
      <c r="AV56" s="77">
        <v>4514798</v>
      </c>
      <c r="AW56" s="81">
        <v>17205129</v>
      </c>
      <c r="AX56" s="81">
        <f>+AX14</f>
        <v>17205129</v>
      </c>
      <c r="AY56" s="77">
        <v>4603191</v>
      </c>
      <c r="AZ56" s="77">
        <v>4736936</v>
      </c>
      <c r="BA56" s="77">
        <v>4755855</v>
      </c>
      <c r="BB56" s="77">
        <v>5093101</v>
      </c>
      <c r="BC56" s="81">
        <v>19189083</v>
      </c>
      <c r="BD56" s="81">
        <f>+BD14</f>
        <v>19189083</v>
      </c>
      <c r="BE56" s="77">
        <v>5169237</v>
      </c>
      <c r="BF56" s="77">
        <v>4298271</v>
      </c>
      <c r="BG56" s="77">
        <f>BG14</f>
        <v>4534300</v>
      </c>
      <c r="BH56" s="77">
        <v>5191427</v>
      </c>
      <c r="BI56" s="81">
        <f>SUM(BE56:BH56)</f>
        <v>19193235</v>
      </c>
      <c r="BJ56" s="81">
        <f>+BJ14</f>
        <v>19193235</v>
      </c>
      <c r="BK56" s="77">
        <f>BK14</f>
        <v>5369491.277900001</v>
      </c>
      <c r="BL56" s="77">
        <f>BL14</f>
        <v>5285546</v>
      </c>
      <c r="BM56" s="77">
        <f>BM14</f>
        <v>5395586</v>
      </c>
      <c r="BN56" s="77">
        <f>BN14</f>
        <v>5818087</v>
      </c>
      <c r="BO56" s="81">
        <f>SUM(BK56:BN56)</f>
        <v>21868710.277900003</v>
      </c>
      <c r="BP56" s="81">
        <f>+BP14</f>
        <v>21868710</v>
      </c>
      <c r="BQ56" s="77">
        <f t="shared" ref="BQ56:BS56" si="60">BQ14</f>
        <v>5849374</v>
      </c>
      <c r="BR56" s="77">
        <f t="shared" si="60"/>
        <v>5801324</v>
      </c>
      <c r="BS56" s="77">
        <f t="shared" si="60"/>
        <v>6018427</v>
      </c>
      <c r="BT56" s="77">
        <f>BT14</f>
        <v>6231561</v>
      </c>
      <c r="BU56" s="81">
        <f>SUM(BQ56:BT56)</f>
        <v>23900686</v>
      </c>
      <c r="BV56" s="81">
        <f>+BV14</f>
        <v>23900687</v>
      </c>
      <c r="BW56" s="77">
        <f t="shared" ref="BW56" si="61">BW14</f>
        <v>6377591</v>
      </c>
      <c r="BX56" s="77">
        <f>BX14</f>
        <v>6448632</v>
      </c>
      <c r="BY56" s="77">
        <f>BY14</f>
        <v>6448112</v>
      </c>
      <c r="BZ56" s="77">
        <f>BZ14</f>
        <v>6783002</v>
      </c>
      <c r="CA56" s="81">
        <f>SUM(BW56:BZ56)</f>
        <v>26057337</v>
      </c>
      <c r="CB56" s="81">
        <f>SUM(BW56:BZ56)</f>
        <v>26057337</v>
      </c>
      <c r="CC56" s="77">
        <f>CC14</f>
        <v>6823765</v>
      </c>
      <c r="CD56" s="77">
        <f>CD14-1</f>
        <v>6811970</v>
      </c>
      <c r="CE56" s="77">
        <f>CE14</f>
        <v>7160432</v>
      </c>
      <c r="CF56" s="77">
        <f>CF14</f>
        <v>7528489</v>
      </c>
      <c r="CG56" s="81">
        <f>SUM(CC56:CF56)</f>
        <v>28324656</v>
      </c>
      <c r="CH56" s="81">
        <f>SUM(CC56:CF56)</f>
        <v>28324656</v>
      </c>
      <c r="CI56" s="77">
        <f>CI14</f>
        <v>7604779</v>
      </c>
      <c r="CJ56" s="77">
        <f>CJ14</f>
        <v>7505266</v>
      </c>
      <c r="CK56" s="77">
        <f>CK14</f>
        <v>7525316</v>
      </c>
      <c r="CL56" s="77">
        <f>CL14</f>
        <v>7873457</v>
      </c>
      <c r="CM56" s="81">
        <f>SUM(CI56:CL56)</f>
        <v>30508818</v>
      </c>
    </row>
    <row r="57" spans="2:91" ht="12" x14ac:dyDescent="0.3">
      <c r="B57" s="109" t="s">
        <v>86</v>
      </c>
      <c r="C57" s="78"/>
      <c r="D57" s="40"/>
      <c r="E57" s="40"/>
      <c r="F57" s="40"/>
      <c r="G57" s="77"/>
      <c r="H57" s="77">
        <f>+H17</f>
        <v>-77725.062999999995</v>
      </c>
      <c r="I57" s="40">
        <v>-11649</v>
      </c>
      <c r="J57" s="40">
        <v>-35267</v>
      </c>
      <c r="K57" s="40">
        <v>-28139</v>
      </c>
      <c r="L57" s="40">
        <v>-29336</v>
      </c>
      <c r="M57" s="40">
        <v>-104391</v>
      </c>
      <c r="N57" s="40">
        <f>+N17</f>
        <v>-181641</v>
      </c>
      <c r="O57" s="40">
        <v>-38461</v>
      </c>
      <c r="P57" s="40">
        <v>-62094</v>
      </c>
      <c r="Q57" s="40">
        <v>-90785</v>
      </c>
      <c r="R57" s="40">
        <v>-120768</v>
      </c>
      <c r="S57" s="40">
        <v>-312108</v>
      </c>
      <c r="T57" s="40">
        <f>+T17</f>
        <v>-240042</v>
      </c>
      <c r="U57" s="40">
        <v>-67515</v>
      </c>
      <c r="V57" s="40">
        <v>-57149</v>
      </c>
      <c r="W57" s="40">
        <v>-261729</v>
      </c>
      <c r="X57" s="40">
        <v>-144230</v>
      </c>
      <c r="Y57" s="40">
        <v>-530623</v>
      </c>
      <c r="Z57" s="40">
        <f>+Z17</f>
        <v>-807394</v>
      </c>
      <c r="AA57" s="40">
        <v>-164079</v>
      </c>
      <c r="AB57" s="40">
        <v>-149942</v>
      </c>
      <c r="AC57" s="40">
        <v>-174399</v>
      </c>
      <c r="AD57" s="40">
        <v>-179817</v>
      </c>
      <c r="AE57" s="110">
        <v>-668237</v>
      </c>
      <c r="AF57" s="110">
        <f>+AF17</f>
        <v>-1065230</v>
      </c>
      <c r="AG57" s="40">
        <v>-194889</v>
      </c>
      <c r="AH57" s="40">
        <v>-193848</v>
      </c>
      <c r="AI57" s="40">
        <v>-216407</v>
      </c>
      <c r="AJ57" s="40">
        <v>-219823</v>
      </c>
      <c r="AK57" s="110">
        <v>-824967</v>
      </c>
      <c r="AL57" s="110">
        <f>+AL17</f>
        <v>-1293772</v>
      </c>
      <c r="AM57" s="40">
        <v>-235242</v>
      </c>
      <c r="AN57" s="40">
        <v>-234040</v>
      </c>
      <c r="AO57" s="40">
        <v>-234448</v>
      </c>
      <c r="AP57" s="40">
        <v>-226284</v>
      </c>
      <c r="AQ57" s="110">
        <v>-930014</v>
      </c>
      <c r="AR57" s="110">
        <f>+AR17</f>
        <v>-1460556</v>
      </c>
      <c r="AS57" s="40">
        <v>-268017</v>
      </c>
      <c r="AT57" s="40">
        <v>-270437</v>
      </c>
      <c r="AU57" s="40">
        <v>-305189</v>
      </c>
      <c r="AV57" s="40">
        <v>-286557</v>
      </c>
      <c r="AW57" s="110">
        <v>-1130200</v>
      </c>
      <c r="AX57" s="110">
        <f>+AX17</f>
        <v>-1749849</v>
      </c>
      <c r="AY57" s="40">
        <v>-289912</v>
      </c>
      <c r="AZ57" s="40">
        <v>-291060</v>
      </c>
      <c r="BA57" s="40">
        <v>-298890</v>
      </c>
      <c r="BB57" s="40">
        <v>-354339</v>
      </c>
      <c r="BC57" s="110">
        <v>-1234201</v>
      </c>
      <c r="BD57" s="110">
        <f>+BD17</f>
        <v>-1939700</v>
      </c>
      <c r="BE57" s="40">
        <v>-419813</v>
      </c>
      <c r="BF57" s="40">
        <v>-420315</v>
      </c>
      <c r="BG57" s="40">
        <f>BG17</f>
        <v>-476340</v>
      </c>
      <c r="BH57" s="40">
        <v>-534668</v>
      </c>
      <c r="BI57" s="110">
        <f>SUM(BE57:BH57)</f>
        <v>-1851136</v>
      </c>
      <c r="BJ57" s="110">
        <f>+BJ17</f>
        <v>-1851136</v>
      </c>
      <c r="BK57" s="40">
        <f t="shared" ref="BK57:BN60" si="62">BK17</f>
        <v>-502459</v>
      </c>
      <c r="BL57" s="40">
        <f t="shared" si="62"/>
        <v>-403109</v>
      </c>
      <c r="BM57" s="40">
        <f t="shared" si="62"/>
        <v>-466975</v>
      </c>
      <c r="BN57" s="40">
        <f t="shared" si="62"/>
        <v>-687587</v>
      </c>
      <c r="BO57" s="110">
        <f>SUM(BK57:BN57)</f>
        <v>-2060130</v>
      </c>
      <c r="BP57" s="110">
        <f>+BP17</f>
        <v>-2060130</v>
      </c>
      <c r="BQ57" s="40">
        <f t="shared" ref="BQ57:BT60" si="63">BQ17</f>
        <v>-592988</v>
      </c>
      <c r="BR57" s="40">
        <f t="shared" si="63"/>
        <v>-621704</v>
      </c>
      <c r="BS57" s="40">
        <f t="shared" si="63"/>
        <v>-660839</v>
      </c>
      <c r="BT57" s="40">
        <f t="shared" si="63"/>
        <v>-807511</v>
      </c>
      <c r="BU57" s="110">
        <f>SUM(BQ57:BT57)</f>
        <v>-2683042</v>
      </c>
      <c r="BV57" s="110">
        <f>+BV17</f>
        <v>-2683042</v>
      </c>
      <c r="BW57" s="40">
        <f t="shared" ref="BW57:BY60" si="64">BW17</f>
        <v>-714893</v>
      </c>
      <c r="BX57" s="40">
        <f t="shared" si="64"/>
        <v>-744408</v>
      </c>
      <c r="BY57" s="40">
        <f t="shared" si="64"/>
        <v>-758793</v>
      </c>
      <c r="BZ57" s="40">
        <f t="shared" ref="BZ57" si="65">BZ17</f>
        <v>-891632</v>
      </c>
      <c r="CA57" s="110">
        <f>SUM(BW57:BZ57)</f>
        <v>-3109726</v>
      </c>
      <c r="CB57" s="110">
        <f t="shared" ref="CB57:CB64" si="66">SUM(BW57:BZ57)</f>
        <v>-3109726</v>
      </c>
      <c r="CC57" s="40">
        <f t="shared" ref="CC57:CF60" si="67">CC17</f>
        <v>-840735</v>
      </c>
      <c r="CD57" s="40">
        <f t="shared" si="67"/>
        <v>-824131</v>
      </c>
      <c r="CE57" s="40">
        <f t="shared" si="67"/>
        <v>-851598</v>
      </c>
      <c r="CF57" s="40">
        <f t="shared" si="67"/>
        <v>-978826</v>
      </c>
      <c r="CG57" s="110">
        <f>SUM(CC57:CF57)</f>
        <v>-3495290</v>
      </c>
      <c r="CH57" s="110">
        <f>SUM(CC57:CF57)</f>
        <v>-3495290</v>
      </c>
      <c r="CI57" s="40">
        <f t="shared" ref="CI57:CL57" si="68">CI17</f>
        <v>-975239</v>
      </c>
      <c r="CJ57" s="40">
        <f t="shared" si="68"/>
        <v>-959977</v>
      </c>
      <c r="CK57" s="40">
        <f>CK17</f>
        <v>-995953</v>
      </c>
      <c r="CL57" s="40">
        <f t="shared" si="68"/>
        <v>-1093080</v>
      </c>
      <c r="CM57" s="110">
        <f>SUM(CI57:CL57)</f>
        <v>-4024249</v>
      </c>
    </row>
    <row r="58" spans="2:91" ht="12" x14ac:dyDescent="0.3">
      <c r="B58" s="109" t="s">
        <v>294</v>
      </c>
      <c r="C58" s="78"/>
      <c r="D58" s="40"/>
      <c r="E58" s="40"/>
      <c r="F58" s="40"/>
      <c r="G58" s="77"/>
      <c r="H58" s="77">
        <f>+H18</f>
        <v>-42598</v>
      </c>
      <c r="I58" s="40">
        <v>-21373</v>
      </c>
      <c r="J58" s="40">
        <v>-31002</v>
      </c>
      <c r="K58" s="40">
        <v>-47485</v>
      </c>
      <c r="L58" s="40">
        <v>-81781</v>
      </c>
      <c r="M58" s="40">
        <v>-181641</v>
      </c>
      <c r="N58" s="40">
        <f>+N18</f>
        <v>-104391</v>
      </c>
      <c r="O58" s="40">
        <v>-78613</v>
      </c>
      <c r="P58" s="40">
        <v>-59031</v>
      </c>
      <c r="Q58" s="40">
        <v>-62359</v>
      </c>
      <c r="R58" s="40">
        <v>-40039</v>
      </c>
      <c r="S58" s="40">
        <v>-240042</v>
      </c>
      <c r="T58" s="40">
        <f>+T18</f>
        <v>-312108</v>
      </c>
      <c r="U58" s="40">
        <v>-248878</v>
      </c>
      <c r="V58" s="40">
        <v>-145062</v>
      </c>
      <c r="W58" s="40">
        <v>-201042</v>
      </c>
      <c r="X58" s="40">
        <v>-212412</v>
      </c>
      <c r="Y58" s="40">
        <v>-807394</v>
      </c>
      <c r="Z58" s="40">
        <f>+Z18</f>
        <v>-530623</v>
      </c>
      <c r="AA58" s="40">
        <v>-202502</v>
      </c>
      <c r="AB58" s="40">
        <v>-252059</v>
      </c>
      <c r="AC58" s="40">
        <v>-299927</v>
      </c>
      <c r="AD58" s="40">
        <v>-310742</v>
      </c>
      <c r="AE58" s="110">
        <v>-1065230</v>
      </c>
      <c r="AF58" s="110">
        <f>+AF18</f>
        <v>-668237</v>
      </c>
      <c r="AG58" s="40">
        <v>-319885</v>
      </c>
      <c r="AH58" s="40">
        <v>-321576</v>
      </c>
      <c r="AI58" s="40">
        <v>-314190</v>
      </c>
      <c r="AJ58" s="40">
        <v>-338121</v>
      </c>
      <c r="AK58" s="110">
        <v>-1293772</v>
      </c>
      <c r="AL58" s="110">
        <f>+AL18</f>
        <v>-824967</v>
      </c>
      <c r="AM58" s="40">
        <v>-328829</v>
      </c>
      <c r="AN58" s="40">
        <v>-347709</v>
      </c>
      <c r="AO58" s="40">
        <v>-347342</v>
      </c>
      <c r="AP58" s="40">
        <v>-436676</v>
      </c>
      <c r="AQ58" s="110">
        <v>-1460556</v>
      </c>
      <c r="AR58" s="110">
        <f>+AR18</f>
        <v>-930014</v>
      </c>
      <c r="AS58" s="40">
        <v>-441914</v>
      </c>
      <c r="AT58" s="40">
        <v>-442191</v>
      </c>
      <c r="AU58" s="40">
        <v>-414499</v>
      </c>
      <c r="AV58" s="40">
        <v>-451245</v>
      </c>
      <c r="AW58" s="110">
        <v>-1749849</v>
      </c>
      <c r="AX58" s="110">
        <f>+AX18</f>
        <v>-1130200</v>
      </c>
      <c r="AY58" s="40">
        <v>-452815</v>
      </c>
      <c r="AZ58" s="40">
        <v>-517450</v>
      </c>
      <c r="BA58" s="40">
        <v>-473815</v>
      </c>
      <c r="BB58" s="40">
        <v>-495620</v>
      </c>
      <c r="BC58" s="110">
        <v>-1939700</v>
      </c>
      <c r="BD58" s="110">
        <f>+BD18</f>
        <v>-1228201</v>
      </c>
      <c r="BE58" s="40">
        <v>-387286</v>
      </c>
      <c r="BF58" s="40">
        <v>-426131</v>
      </c>
      <c r="BG58" s="40">
        <f>BG18</f>
        <v>-435470</v>
      </c>
      <c r="BH58" s="40">
        <v>-334908</v>
      </c>
      <c r="BI58" s="110">
        <f t="shared" ref="BI58:BI60" si="69">SUM(BE58:BH58)</f>
        <v>-1583795</v>
      </c>
      <c r="BJ58" s="110">
        <f>+BJ18</f>
        <v>-1583795</v>
      </c>
      <c r="BK58" s="40">
        <f t="shared" si="62"/>
        <v>-420357</v>
      </c>
      <c r="BL58" s="40">
        <f t="shared" si="62"/>
        <v>-402735</v>
      </c>
      <c r="BM58" s="40">
        <f t="shared" si="62"/>
        <v>-333816</v>
      </c>
      <c r="BN58" s="40">
        <f t="shared" si="62"/>
        <v>-286707</v>
      </c>
      <c r="BO58" s="110">
        <f t="shared" ref="BO58:BO60" si="70">SUM(BK58:BN58)</f>
        <v>-1443615</v>
      </c>
      <c r="BP58" s="110">
        <f>+BP18</f>
        <v>-1443615</v>
      </c>
      <c r="BQ58" s="40">
        <f t="shared" si="63"/>
        <v>-376938</v>
      </c>
      <c r="BR58" s="40">
        <f t="shared" si="63"/>
        <v>-368140</v>
      </c>
      <c r="BS58" s="40">
        <f t="shared" si="63"/>
        <v>-298859</v>
      </c>
      <c r="BT58" s="40">
        <f t="shared" si="63"/>
        <v>-277782</v>
      </c>
      <c r="BU58" s="110">
        <f t="shared" ref="BU58:BU60" si="71">SUM(BQ58:BT58)</f>
        <v>-1321719</v>
      </c>
      <c r="BV58" s="110">
        <f>+BV18</f>
        <v>-1321719</v>
      </c>
      <c r="BW58" s="40">
        <f t="shared" si="64"/>
        <v>-372066</v>
      </c>
      <c r="BX58" s="40">
        <f t="shared" si="64"/>
        <v>-386250</v>
      </c>
      <c r="BY58" s="40">
        <f t="shared" si="64"/>
        <v>-369314</v>
      </c>
      <c r="BZ58" s="40">
        <f t="shared" ref="BZ58" si="72">BZ18</f>
        <v>-491979</v>
      </c>
      <c r="CA58" s="110">
        <f t="shared" ref="CA58:CA60" si="73">SUM(BW58:BZ58)</f>
        <v>-1619609</v>
      </c>
      <c r="CB58" s="110">
        <f t="shared" si="66"/>
        <v>-1619609</v>
      </c>
      <c r="CC58" s="40">
        <f t="shared" si="67"/>
        <v>-493973</v>
      </c>
      <c r="CD58" s="40">
        <f t="shared" si="67"/>
        <v>-560715</v>
      </c>
      <c r="CE58" s="40">
        <f t="shared" si="67"/>
        <v>-588731</v>
      </c>
      <c r="CF58" s="40">
        <f t="shared" si="67"/>
        <v>-654514</v>
      </c>
      <c r="CG58" s="110">
        <f t="shared" ref="CG58:CG60" si="74">SUM(CC58:CF58)</f>
        <v>-2297933</v>
      </c>
      <c r="CH58" s="110">
        <f>SUM(CC58:CF58)</f>
        <v>-2297933</v>
      </c>
      <c r="CI58" s="40">
        <f t="shared" ref="CI58:CL58" si="75">CI18</f>
        <v>-665216</v>
      </c>
      <c r="CJ58" s="40">
        <f t="shared" si="75"/>
        <v>-633861</v>
      </c>
      <c r="CK58" s="40">
        <f t="shared" si="75"/>
        <v>-611758</v>
      </c>
      <c r="CL58" s="40">
        <f t="shared" si="75"/>
        <v>-348389</v>
      </c>
      <c r="CM58" s="110">
        <f t="shared" ref="CM58:CM60" si="76">SUM(CI58:CL58)</f>
        <v>-2259224</v>
      </c>
    </row>
    <row r="59" spans="2:91" ht="12" x14ac:dyDescent="0.3">
      <c r="B59" s="109" t="s">
        <v>87</v>
      </c>
      <c r="C59" s="78"/>
      <c r="D59" s="40"/>
      <c r="E59" s="40"/>
      <c r="F59" s="40"/>
      <c r="G59" s="77"/>
      <c r="H59" s="77">
        <f>+H19</f>
        <v>0</v>
      </c>
      <c r="I59" s="40">
        <v>0</v>
      </c>
      <c r="J59" s="40">
        <v>0</v>
      </c>
      <c r="K59" s="40">
        <v>0</v>
      </c>
      <c r="L59" s="40">
        <v>-1468</v>
      </c>
      <c r="M59" s="40">
        <v>-1468</v>
      </c>
      <c r="N59" s="40">
        <f>+N19</f>
        <v>-1468</v>
      </c>
      <c r="O59" s="40">
        <v>-8256</v>
      </c>
      <c r="P59" s="40">
        <v>0</v>
      </c>
      <c r="Q59" s="40">
        <v>0</v>
      </c>
      <c r="R59" s="40">
        <v>-49052</v>
      </c>
      <c r="S59" s="40">
        <v>-57308</v>
      </c>
      <c r="T59" s="40">
        <f>+T19</f>
        <v>-57308</v>
      </c>
      <c r="U59" s="40">
        <v>-13170</v>
      </c>
      <c r="V59" s="40">
        <v>-43448</v>
      </c>
      <c r="W59" s="40">
        <v>-63469</v>
      </c>
      <c r="X59" s="40">
        <v>-35017</v>
      </c>
      <c r="Y59" s="40">
        <v>-155104</v>
      </c>
      <c r="Z59" s="40">
        <f>+Z19</f>
        <v>-155104</v>
      </c>
      <c r="AA59" s="40">
        <v>-54422</v>
      </c>
      <c r="AB59" s="40">
        <v>-61496</v>
      </c>
      <c r="AC59" s="40">
        <v>-65375</v>
      </c>
      <c r="AD59" s="40">
        <v>-77508</v>
      </c>
      <c r="AE59" s="110">
        <v>-258801</v>
      </c>
      <c r="AF59" s="110">
        <f>+AF19</f>
        <v>-258801</v>
      </c>
      <c r="AG59" s="40">
        <v>-76516</v>
      </c>
      <c r="AH59" s="40">
        <v>-76626</v>
      </c>
      <c r="AI59" s="40">
        <v>-87517</v>
      </c>
      <c r="AJ59" s="40">
        <v>-82415</v>
      </c>
      <c r="AK59" s="110">
        <v>-323074</v>
      </c>
      <c r="AL59" s="110">
        <f>+AL19</f>
        <v>-323074</v>
      </c>
      <c r="AM59" s="40">
        <v>-85140</v>
      </c>
      <c r="AN59" s="40">
        <v>-83278</v>
      </c>
      <c r="AO59" s="40">
        <v>-81561</v>
      </c>
      <c r="AP59" s="40">
        <v>-86890</v>
      </c>
      <c r="AQ59" s="110">
        <v>-336869</v>
      </c>
      <c r="AR59" s="110">
        <f>+AR19</f>
        <v>-336869</v>
      </c>
      <c r="AS59" s="40">
        <v>-100741</v>
      </c>
      <c r="AT59" s="40">
        <v>-113806</v>
      </c>
      <c r="AU59" s="40">
        <v>-123600</v>
      </c>
      <c r="AV59" s="40">
        <v>-128541</v>
      </c>
      <c r="AW59" s="110">
        <v>-466688</v>
      </c>
      <c r="AX59" s="110">
        <f>+AX19</f>
        <v>-466688</v>
      </c>
      <c r="AY59" s="40">
        <v>-121948</v>
      </c>
      <c r="AZ59" s="40">
        <v>-116263</v>
      </c>
      <c r="BA59" s="40">
        <v>-143040</v>
      </c>
      <c r="BB59" s="40">
        <v>-152555.23679</v>
      </c>
      <c r="BC59" s="110">
        <v>-533806.23679</v>
      </c>
      <c r="BD59" s="110">
        <f>+BD19</f>
        <v>-533806</v>
      </c>
      <c r="BE59" s="40">
        <v>-133619</v>
      </c>
      <c r="BF59" s="40">
        <v>-138380</v>
      </c>
      <c r="BG59" s="40">
        <f>BG19</f>
        <v>-141984</v>
      </c>
      <c r="BH59" s="40">
        <v>-137178</v>
      </c>
      <c r="BI59" s="110">
        <f t="shared" si="69"/>
        <v>-551161</v>
      </c>
      <c r="BJ59" s="110">
        <f>+BJ19</f>
        <v>-551161</v>
      </c>
      <c r="BK59" s="40">
        <f t="shared" si="62"/>
        <v>-148623</v>
      </c>
      <c r="BL59" s="40">
        <f t="shared" si="62"/>
        <v>-150394</v>
      </c>
      <c r="BM59" s="40">
        <f t="shared" si="62"/>
        <v>-150373</v>
      </c>
      <c r="BN59" s="40">
        <f t="shared" si="62"/>
        <v>-150425</v>
      </c>
      <c r="BO59" s="110">
        <f t="shared" si="70"/>
        <v>-599815</v>
      </c>
      <c r="BP59" s="110">
        <f>+BP19</f>
        <v>-599815</v>
      </c>
      <c r="BQ59" s="40">
        <f t="shared" si="63"/>
        <v>-174471</v>
      </c>
      <c r="BR59" s="40">
        <f t="shared" si="63"/>
        <v>-175778</v>
      </c>
      <c r="BS59" s="40">
        <f t="shared" si="63"/>
        <v>-176854</v>
      </c>
      <c r="BT59" s="40">
        <f t="shared" si="63"/>
        <v>-177353</v>
      </c>
      <c r="BU59" s="110">
        <f t="shared" si="71"/>
        <v>-704456</v>
      </c>
      <c r="BV59" s="110">
        <f>+BV19</f>
        <v>-704456</v>
      </c>
      <c r="BW59" s="40">
        <f t="shared" si="64"/>
        <v>-194025</v>
      </c>
      <c r="BX59" s="40">
        <f t="shared" si="64"/>
        <v>-196200</v>
      </c>
      <c r="BY59" s="40">
        <f t="shared" si="64"/>
        <v>-191628</v>
      </c>
      <c r="BZ59" s="40">
        <f t="shared" ref="BZ59" si="77">BZ19</f>
        <v>-188715</v>
      </c>
      <c r="CA59" s="110">
        <f t="shared" si="73"/>
        <v>-770568</v>
      </c>
      <c r="CB59" s="110">
        <f t="shared" si="66"/>
        <v>-770568</v>
      </c>
      <c r="CC59" s="40">
        <f t="shared" si="67"/>
        <v>-193147</v>
      </c>
      <c r="CD59" s="40">
        <f t="shared" si="67"/>
        <v>-198075</v>
      </c>
      <c r="CE59" s="40">
        <f t="shared" si="67"/>
        <v>-198366</v>
      </c>
      <c r="CF59" s="40">
        <f t="shared" si="67"/>
        <v>-208776</v>
      </c>
      <c r="CG59" s="110">
        <f t="shared" si="74"/>
        <v>-798364</v>
      </c>
      <c r="CH59" s="110">
        <f>SUM(CC59:CF59)</f>
        <v>-798364</v>
      </c>
      <c r="CI59" s="40">
        <f t="shared" ref="CI59:CL59" si="78">CI19</f>
        <v>-205343</v>
      </c>
      <c r="CJ59" s="40">
        <f t="shared" si="78"/>
        <v>-209100</v>
      </c>
      <c r="CK59" s="40">
        <f t="shared" si="78"/>
        <v>-204499</v>
      </c>
      <c r="CL59" s="40">
        <f t="shared" si="78"/>
        <v>-210591</v>
      </c>
      <c r="CM59" s="110">
        <f t="shared" si="76"/>
        <v>-829533</v>
      </c>
    </row>
    <row r="60" spans="2:91" ht="12" x14ac:dyDescent="0.3">
      <c r="B60" s="109" t="s">
        <v>88</v>
      </c>
      <c r="C60" s="78"/>
      <c r="D60" s="40"/>
      <c r="E60" s="40"/>
      <c r="F60" s="40"/>
      <c r="G60" s="77"/>
      <c r="H60" s="77">
        <f>+H20</f>
        <v>-4271.6390000000001</v>
      </c>
      <c r="I60" s="40">
        <v>-2328</v>
      </c>
      <c r="J60" s="40">
        <v>-2267</v>
      </c>
      <c r="K60" s="40">
        <v>-8779</v>
      </c>
      <c r="L60" s="40">
        <v>-7210</v>
      </c>
      <c r="M60" s="40">
        <v>-20584</v>
      </c>
      <c r="N60" s="40">
        <f>+N20</f>
        <v>-20584</v>
      </c>
      <c r="O60" s="40">
        <v>-7841</v>
      </c>
      <c r="P60" s="40">
        <v>-7623</v>
      </c>
      <c r="Q60" s="40">
        <v>-4313</v>
      </c>
      <c r="R60" s="40">
        <v>-6985</v>
      </c>
      <c r="S60" s="40">
        <v>-26762</v>
      </c>
      <c r="T60" s="40">
        <f>+T20</f>
        <v>-26762</v>
      </c>
      <c r="U60" s="40">
        <v>-5568</v>
      </c>
      <c r="V60" s="40">
        <v>-19025</v>
      </c>
      <c r="W60" s="40">
        <v>-39741</v>
      </c>
      <c r="X60" s="40">
        <v>-19845</v>
      </c>
      <c r="Y60" s="40">
        <v>-84179</v>
      </c>
      <c r="Z60" s="40">
        <f>+Z20</f>
        <v>-84179</v>
      </c>
      <c r="AA60" s="40">
        <v>-17425</v>
      </c>
      <c r="AB60" s="40">
        <v>-17738</v>
      </c>
      <c r="AC60" s="40">
        <v>-20247</v>
      </c>
      <c r="AD60" s="40">
        <v>-31602</v>
      </c>
      <c r="AE60" s="110">
        <v>-87012</v>
      </c>
      <c r="AF60" s="110">
        <f>+AF20</f>
        <v>-87012</v>
      </c>
      <c r="AG60" s="40">
        <v>-31141</v>
      </c>
      <c r="AH60" s="40">
        <v>-32080</v>
      </c>
      <c r="AI60" s="40">
        <v>-32307</v>
      </c>
      <c r="AJ60" s="40">
        <v>-48390</v>
      </c>
      <c r="AK60" s="110">
        <v>-143918</v>
      </c>
      <c r="AL60" s="110">
        <f>+AL20</f>
        <v>-143918</v>
      </c>
      <c r="AM60" s="40">
        <v>-37547</v>
      </c>
      <c r="AN60" s="40">
        <v>-38358</v>
      </c>
      <c r="AO60" s="40">
        <v>-38230</v>
      </c>
      <c r="AP60" s="40">
        <v>-38229</v>
      </c>
      <c r="AQ60" s="110">
        <v>-152364</v>
      </c>
      <c r="AR60" s="110">
        <f>+AR20</f>
        <v>-152364</v>
      </c>
      <c r="AS60" s="40">
        <v>-39294</v>
      </c>
      <c r="AT60" s="40">
        <v>-39276</v>
      </c>
      <c r="AU60" s="40">
        <v>-62519</v>
      </c>
      <c r="AV60" s="40">
        <v>-70861</v>
      </c>
      <c r="AW60" s="110">
        <v>-211950</v>
      </c>
      <c r="AX60" s="110">
        <f>+AX20</f>
        <v>-211950</v>
      </c>
      <c r="AY60" s="40">
        <v>-70861</v>
      </c>
      <c r="AZ60" s="40">
        <v>-64821</v>
      </c>
      <c r="BA60" s="40">
        <v>-65478</v>
      </c>
      <c r="BB60" s="40">
        <v>-66611</v>
      </c>
      <c r="BC60" s="110">
        <v>-267771</v>
      </c>
      <c r="BD60" s="110">
        <f>+BD20</f>
        <v>-267771</v>
      </c>
      <c r="BE60" s="40">
        <v>-68434</v>
      </c>
      <c r="BF60" s="40">
        <v>-68434</v>
      </c>
      <c r="BG60" s="40">
        <f>BG20</f>
        <v>-72171</v>
      </c>
      <c r="BH60" s="40">
        <v>-72170</v>
      </c>
      <c r="BI60" s="110">
        <f t="shared" si="69"/>
        <v>-281209</v>
      </c>
      <c r="BJ60" s="110">
        <f>+BJ20</f>
        <v>-281209</v>
      </c>
      <c r="BK60" s="40">
        <f t="shared" si="62"/>
        <v>-77960</v>
      </c>
      <c r="BL60" s="40">
        <f t="shared" si="62"/>
        <v>-88254</v>
      </c>
      <c r="BM60" s="40">
        <f t="shared" si="62"/>
        <v>-88284</v>
      </c>
      <c r="BN60" s="40">
        <f t="shared" si="62"/>
        <v>-88980</v>
      </c>
      <c r="BO60" s="110">
        <f t="shared" si="70"/>
        <v>-343478</v>
      </c>
      <c r="BP60" s="110">
        <f>+BP20</f>
        <v>-343478</v>
      </c>
      <c r="BQ60" s="40">
        <f t="shared" si="63"/>
        <v>-88980</v>
      </c>
      <c r="BR60" s="40">
        <f t="shared" si="63"/>
        <v>-88980</v>
      </c>
      <c r="BS60" s="40">
        <f t="shared" si="63"/>
        <v>-96849</v>
      </c>
      <c r="BT60" s="40">
        <f t="shared" si="63"/>
        <v>-96864</v>
      </c>
      <c r="BU60" s="110">
        <f t="shared" si="71"/>
        <v>-371673</v>
      </c>
      <c r="BV60" s="110">
        <f>+BV20</f>
        <v>-371673</v>
      </c>
      <c r="BW60" s="40">
        <f t="shared" si="64"/>
        <v>-96465</v>
      </c>
      <c r="BX60" s="40">
        <f t="shared" si="64"/>
        <v>-98151</v>
      </c>
      <c r="BY60" s="40">
        <f t="shared" si="64"/>
        <v>-98154</v>
      </c>
      <c r="BZ60" s="40">
        <f t="shared" ref="BZ60" si="79">BZ20</f>
        <v>-99462</v>
      </c>
      <c r="CA60" s="110">
        <f t="shared" si="73"/>
        <v>-392232</v>
      </c>
      <c r="CB60" s="110">
        <f t="shared" si="66"/>
        <v>-392232</v>
      </c>
      <c r="CC60" s="40">
        <f t="shared" si="67"/>
        <v>-109242</v>
      </c>
      <c r="CD60" s="40">
        <f t="shared" si="67"/>
        <v>-109242</v>
      </c>
      <c r="CE60" s="40">
        <f t="shared" si="67"/>
        <v>-109242</v>
      </c>
      <c r="CF60" s="40">
        <f t="shared" si="67"/>
        <v>-109266</v>
      </c>
      <c r="CG60" s="110">
        <f t="shared" si="74"/>
        <v>-436992</v>
      </c>
      <c r="CH60" s="110">
        <f>SUM(CC60:CF60)</f>
        <v>-436992</v>
      </c>
      <c r="CI60" s="40">
        <f t="shared" ref="CI60:CL60" si="80">CI20</f>
        <v>-109219</v>
      </c>
      <c r="CJ60" s="40">
        <f t="shared" si="80"/>
        <v>-123782</v>
      </c>
      <c r="CK60" s="40">
        <f t="shared" si="80"/>
        <v>-131674</v>
      </c>
      <c r="CL60" s="40">
        <f t="shared" si="80"/>
        <v>-141716</v>
      </c>
      <c r="CM60" s="110">
        <f t="shared" si="76"/>
        <v>-506391</v>
      </c>
    </row>
    <row r="61" spans="2:91" ht="12" x14ac:dyDescent="0.3">
      <c r="B61" s="109" t="s">
        <v>89</v>
      </c>
      <c r="C61" s="78"/>
      <c r="D61" s="40"/>
      <c r="E61" s="40"/>
      <c r="F61" s="40"/>
      <c r="G61" s="77"/>
      <c r="H61" s="77"/>
      <c r="I61" s="40">
        <v>0</v>
      </c>
      <c r="J61" s="40">
        <v>0</v>
      </c>
      <c r="K61" s="40">
        <v>0</v>
      </c>
      <c r="L61" s="40">
        <v>0</v>
      </c>
      <c r="M61" s="40">
        <v>0</v>
      </c>
      <c r="N61" s="40"/>
      <c r="O61" s="40">
        <v>0</v>
      </c>
      <c r="P61" s="40">
        <v>0</v>
      </c>
      <c r="Q61" s="40">
        <v>0</v>
      </c>
      <c r="R61" s="40">
        <v>0</v>
      </c>
      <c r="S61" s="40">
        <v>0</v>
      </c>
      <c r="T61" s="40"/>
      <c r="U61" s="40">
        <v>0</v>
      </c>
      <c r="V61" s="40">
        <v>0</v>
      </c>
      <c r="W61" s="40">
        <v>159986</v>
      </c>
      <c r="X61" s="40">
        <v>0</v>
      </c>
      <c r="Y61" s="40">
        <v>159986</v>
      </c>
      <c r="Z61" s="40"/>
      <c r="AA61" s="40">
        <v>0</v>
      </c>
      <c r="AB61" s="40">
        <v>0</v>
      </c>
      <c r="AC61" s="40">
        <v>0</v>
      </c>
      <c r="AD61" s="40">
        <v>0</v>
      </c>
      <c r="AE61" s="110">
        <v>0</v>
      </c>
      <c r="AF61" s="110"/>
      <c r="AG61" s="40">
        <v>0</v>
      </c>
      <c r="AH61" s="40">
        <v>0</v>
      </c>
      <c r="AI61" s="40">
        <v>0</v>
      </c>
      <c r="AJ61" s="40">
        <v>0</v>
      </c>
      <c r="AK61" s="110">
        <v>0</v>
      </c>
      <c r="AL61" s="110"/>
      <c r="AM61" s="40">
        <v>0</v>
      </c>
      <c r="AN61" s="40">
        <v>0</v>
      </c>
      <c r="AO61" s="40">
        <v>0</v>
      </c>
      <c r="AP61" s="40">
        <v>0</v>
      </c>
      <c r="AQ61" s="110">
        <v>0</v>
      </c>
      <c r="AR61" s="110"/>
      <c r="AS61" s="40">
        <v>0</v>
      </c>
      <c r="AT61" s="40">
        <v>0</v>
      </c>
      <c r="AU61" s="40">
        <v>0</v>
      </c>
      <c r="AV61" s="40">
        <v>0</v>
      </c>
      <c r="AW61" s="110">
        <v>0</v>
      </c>
      <c r="AX61" s="110"/>
      <c r="AY61" s="40">
        <v>0</v>
      </c>
      <c r="AZ61" s="40">
        <v>0</v>
      </c>
      <c r="BA61" s="40">
        <v>0</v>
      </c>
      <c r="BB61" s="40">
        <v>0</v>
      </c>
      <c r="BC61" s="110">
        <v>0</v>
      </c>
      <c r="BD61" s="110"/>
      <c r="BE61" s="40"/>
      <c r="BF61" s="40">
        <v>0</v>
      </c>
      <c r="BG61" s="40"/>
      <c r="BH61" s="40"/>
      <c r="BI61" s="110"/>
      <c r="BJ61" s="110"/>
      <c r="BK61" s="40"/>
      <c r="BL61" s="40"/>
      <c r="BM61" s="40"/>
      <c r="BN61" s="40"/>
      <c r="BO61" s="110"/>
      <c r="BP61" s="110"/>
      <c r="BQ61" s="40"/>
      <c r="BR61" s="40"/>
      <c r="BS61" s="40"/>
      <c r="BT61" s="40"/>
      <c r="BU61" s="110"/>
      <c r="BV61" s="110"/>
      <c r="BW61" s="40"/>
      <c r="BX61" s="40"/>
      <c r="BY61" s="40"/>
      <c r="BZ61" s="40"/>
      <c r="CA61" s="110"/>
      <c r="CB61" s="110"/>
      <c r="CC61" s="40"/>
      <c r="CD61" s="40"/>
      <c r="CE61" s="40"/>
      <c r="CF61" s="40"/>
      <c r="CG61" s="110"/>
      <c r="CH61" s="110"/>
      <c r="CI61" s="40"/>
      <c r="CJ61" s="40"/>
      <c r="CK61" s="40"/>
      <c r="CL61" s="40"/>
      <c r="CM61" s="110"/>
    </row>
    <row r="62" spans="2:91" ht="12" x14ac:dyDescent="0.3">
      <c r="B62" s="111" t="s">
        <v>90</v>
      </c>
      <c r="C62" s="79">
        <v>12800</v>
      </c>
      <c r="D62" s="80">
        <v>97520</v>
      </c>
      <c r="E62" s="80">
        <v>167900</v>
      </c>
      <c r="F62" s="80">
        <v>161400</v>
      </c>
      <c r="G62" s="80">
        <v>439620</v>
      </c>
      <c r="H62" s="112">
        <f t="shared" ref="H62" si="81">SUM(H56:H61)</f>
        <v>407128.14799999999</v>
      </c>
      <c r="I62" s="80">
        <v>163077</v>
      </c>
      <c r="J62" s="80">
        <v>333399</v>
      </c>
      <c r="K62" s="80">
        <v>439452</v>
      </c>
      <c r="L62" s="80">
        <v>309207</v>
      </c>
      <c r="M62" s="80">
        <v>1245135</v>
      </c>
      <c r="N62" s="112">
        <f t="shared" ref="N62" si="82">SUM(N56:N61)</f>
        <v>1245135</v>
      </c>
      <c r="O62" s="80">
        <v>577051</v>
      </c>
      <c r="P62" s="80">
        <v>820354</v>
      </c>
      <c r="Q62" s="80">
        <v>903688</v>
      </c>
      <c r="R62" s="80">
        <v>966789</v>
      </c>
      <c r="S62" s="80">
        <v>3267882</v>
      </c>
      <c r="T62" s="112">
        <f t="shared" ref="T62" si="83">SUM(T56:T61)</f>
        <v>3267882</v>
      </c>
      <c r="U62" s="80">
        <v>1362812</v>
      </c>
      <c r="V62" s="80">
        <v>1717415</v>
      </c>
      <c r="W62" s="80">
        <v>1614130</v>
      </c>
      <c r="X62" s="80">
        <v>1710309</v>
      </c>
      <c r="Y62" s="80">
        <v>6404666</v>
      </c>
      <c r="Z62" s="112">
        <f t="shared" ref="Z62" si="84">SUM(Z56:Z61)</f>
        <v>6244680</v>
      </c>
      <c r="AA62" s="80">
        <v>1787074</v>
      </c>
      <c r="AB62" s="80">
        <v>2027967</v>
      </c>
      <c r="AC62" s="80">
        <v>2311697</v>
      </c>
      <c r="AD62" s="80">
        <v>2518881</v>
      </c>
      <c r="AE62" s="112">
        <v>8645619</v>
      </c>
      <c r="AF62" s="112">
        <f t="shared" ref="AF62" si="85">SUM(AF56:AF61)</f>
        <v>8645619</v>
      </c>
      <c r="AG62" s="80">
        <v>2551730</v>
      </c>
      <c r="AH62" s="80">
        <v>2563427</v>
      </c>
      <c r="AI62" s="80">
        <v>2708679</v>
      </c>
      <c r="AJ62" s="80">
        <v>2843281</v>
      </c>
      <c r="AK62" s="112">
        <v>10667117</v>
      </c>
      <c r="AL62" s="112">
        <f t="shared" ref="AL62" si="86">SUM(AL56:AL61)</f>
        <v>10667117</v>
      </c>
      <c r="AM62" s="80">
        <v>2877204</v>
      </c>
      <c r="AN62" s="80">
        <v>2876671</v>
      </c>
      <c r="AO62" s="80">
        <v>2871664</v>
      </c>
      <c r="AP62" s="80">
        <v>3115778</v>
      </c>
      <c r="AQ62" s="112">
        <v>11741317</v>
      </c>
      <c r="AR62" s="112">
        <f t="shared" ref="AR62" si="87">SUM(AR56:AR61)</f>
        <v>11741317</v>
      </c>
      <c r="AS62" s="80">
        <v>3279840</v>
      </c>
      <c r="AT62" s="80">
        <v>3349468</v>
      </c>
      <c r="AU62" s="80">
        <v>3439540</v>
      </c>
      <c r="AV62" s="80">
        <v>3577594</v>
      </c>
      <c r="AW62" s="112">
        <v>13646442</v>
      </c>
      <c r="AX62" s="112">
        <f t="shared" ref="AX62" si="88">SUM(AX56:AX61)</f>
        <v>13646442</v>
      </c>
      <c r="AY62" s="80">
        <v>3667655</v>
      </c>
      <c r="AZ62" s="80">
        <v>3747342</v>
      </c>
      <c r="BA62" s="80">
        <v>3774632</v>
      </c>
      <c r="BB62" s="80">
        <v>4023975.76321</v>
      </c>
      <c r="BC62" s="112">
        <v>15213604.76321</v>
      </c>
      <c r="BD62" s="112">
        <f t="shared" ref="BD62" si="89">SUM(BD56:BD61)</f>
        <v>15219605</v>
      </c>
      <c r="BE62" s="80">
        <v>4160085</v>
      </c>
      <c r="BF62" s="80">
        <v>3245012</v>
      </c>
      <c r="BG62" s="80">
        <f>SUM(BG56:BG61)</f>
        <v>3408335</v>
      </c>
      <c r="BH62" s="80">
        <f>SUM(BH56:BH61)</f>
        <v>4112503</v>
      </c>
      <c r="BI62" s="112">
        <f>SUM(BE62:BH62)</f>
        <v>14925935</v>
      </c>
      <c r="BJ62" s="112">
        <f t="shared" ref="BJ62" si="90">SUM(BJ56:BJ61)</f>
        <v>14925934</v>
      </c>
      <c r="BK62" s="80">
        <f>SUM(BK56:BK61)</f>
        <v>4220092.277900001</v>
      </c>
      <c r="BL62" s="80">
        <f>SUM(BL56:BL61)</f>
        <v>4241054</v>
      </c>
      <c r="BM62" s="80">
        <f>SUM(BM56:BM61)</f>
        <v>4356138</v>
      </c>
      <c r="BN62" s="80">
        <f>SUM(BN56:BN61)</f>
        <v>4604388</v>
      </c>
      <c r="BO62" s="112">
        <f>SUM(BK62:BN62)</f>
        <v>17421672.277900003</v>
      </c>
      <c r="BP62" s="112">
        <f t="shared" ref="BP62" si="91">SUM(BP56:BP61)</f>
        <v>17421672</v>
      </c>
      <c r="BQ62" s="80">
        <f>SUM(BQ56:BQ61)</f>
        <v>4615997</v>
      </c>
      <c r="BR62" s="80">
        <f>SUM(BR56:BR61)</f>
        <v>4546722</v>
      </c>
      <c r="BS62" s="80">
        <f>SUM(BS56:BS61)</f>
        <v>4785026</v>
      </c>
      <c r="BT62" s="80">
        <f>SUM(BT56:BT61)</f>
        <v>4872051</v>
      </c>
      <c r="BU62" s="112">
        <f>SUM(BQ62:BT62)</f>
        <v>18819796</v>
      </c>
      <c r="BV62" s="112">
        <f t="shared" ref="BV62" si="92">SUM(BV56:BV61)</f>
        <v>18819797</v>
      </c>
      <c r="BW62" s="80">
        <f>SUM(BW56:BW61)</f>
        <v>5000142</v>
      </c>
      <c r="BX62" s="80">
        <f>SUM(BX56:BX61)</f>
        <v>5023623</v>
      </c>
      <c r="BY62" s="80">
        <f>SUM(BY56:BY61)</f>
        <v>5030223</v>
      </c>
      <c r="BZ62" s="80">
        <f>SUM(BZ56:BZ61)</f>
        <v>5111214</v>
      </c>
      <c r="CA62" s="112">
        <f>SUM(BW62:BZ62)</f>
        <v>20165202</v>
      </c>
      <c r="CB62" s="112">
        <f t="shared" si="66"/>
        <v>20165202</v>
      </c>
      <c r="CC62" s="80">
        <f>SUM(CC56:CC61)</f>
        <v>5186668</v>
      </c>
      <c r="CD62" s="80">
        <f>SUM(CD56:CD61)</f>
        <v>5119807</v>
      </c>
      <c r="CE62" s="80">
        <f>SUM(CE56:CE61)</f>
        <v>5412495</v>
      </c>
      <c r="CF62" s="80">
        <f>SUM(CF56:CF61)</f>
        <v>5577107</v>
      </c>
      <c r="CG62" s="80">
        <f>SUM(CG56:CG61)</f>
        <v>21296077</v>
      </c>
      <c r="CH62" s="112">
        <f t="shared" ref="CH62:CH64" si="93">SUM(CC62:CF62)</f>
        <v>21296077</v>
      </c>
      <c r="CI62" s="80">
        <f>SUM(CI56:CI61)</f>
        <v>5649762</v>
      </c>
      <c r="CJ62" s="80">
        <f>SUM(CJ56:CJ61)</f>
        <v>5578546</v>
      </c>
      <c r="CK62" s="80">
        <f>SUM(CK56:CK61)</f>
        <v>5581432</v>
      </c>
      <c r="CL62" s="80">
        <f>SUM(CL56:CL61)</f>
        <v>6079681</v>
      </c>
      <c r="CM62" s="80">
        <f>SUM(CM56:CM61)</f>
        <v>22889421</v>
      </c>
    </row>
    <row r="63" spans="2:91" ht="12" x14ac:dyDescent="0.3">
      <c r="B63" s="109" t="s">
        <v>91</v>
      </c>
      <c r="C63" s="63">
        <v>-1249.3710000000001</v>
      </c>
      <c r="D63" s="38">
        <v>-20510.011999999999</v>
      </c>
      <c r="E63" s="38">
        <v>-19904.679</v>
      </c>
      <c r="F63" s="38">
        <v>-48920.45</v>
      </c>
      <c r="G63" s="38">
        <v>-32170.057000000001</v>
      </c>
      <c r="H63" s="38">
        <f>+H16</f>
        <v>-32170.057000000001</v>
      </c>
      <c r="I63" s="38">
        <v>-14771</v>
      </c>
      <c r="J63" s="38">
        <v>-23845</v>
      </c>
      <c r="K63" s="38">
        <v>-43865</v>
      </c>
      <c r="L63" s="38">
        <v>-96249</v>
      </c>
      <c r="M63" s="38">
        <v>-178730</v>
      </c>
      <c r="N63" s="38">
        <f>+N16</f>
        <v>-178730</v>
      </c>
      <c r="O63" s="38">
        <v>-37927</v>
      </c>
      <c r="P63" s="38">
        <v>-99038</v>
      </c>
      <c r="Q63" s="38">
        <v>-98630</v>
      </c>
      <c r="R63" s="38">
        <v>-92592</v>
      </c>
      <c r="S63" s="38">
        <v>-328187</v>
      </c>
      <c r="T63" s="38">
        <f>+T16</f>
        <v>-328187</v>
      </c>
      <c r="U63" s="38">
        <v>-93507</v>
      </c>
      <c r="V63" s="38">
        <v>-103472</v>
      </c>
      <c r="W63" s="38">
        <v>-154556</v>
      </c>
      <c r="X63" s="38">
        <v>-139297</v>
      </c>
      <c r="Y63" s="38">
        <v>-490832</v>
      </c>
      <c r="Z63" s="38">
        <f>+Z16</f>
        <v>-490832</v>
      </c>
      <c r="AA63" s="38">
        <v>-150945</v>
      </c>
      <c r="AB63" s="39">
        <v>-152240</v>
      </c>
      <c r="AC63" s="39">
        <v>-152648</v>
      </c>
      <c r="AD63" s="39">
        <v>-157095</v>
      </c>
      <c r="AE63" s="39">
        <v>-612928</v>
      </c>
      <c r="AF63" s="39">
        <f>+AF16</f>
        <v>-612928</v>
      </c>
      <c r="AG63" s="38">
        <v>-166011</v>
      </c>
      <c r="AH63" s="38">
        <v>-169556</v>
      </c>
      <c r="AI63" s="38">
        <v>-170745</v>
      </c>
      <c r="AJ63" s="38">
        <v>-172374</v>
      </c>
      <c r="AK63" s="39">
        <v>-678686</v>
      </c>
      <c r="AL63" s="39">
        <f>+AL16</f>
        <v>-678686</v>
      </c>
      <c r="AM63" s="38">
        <v>-178728</v>
      </c>
      <c r="AN63" s="38">
        <v>-183285</v>
      </c>
      <c r="AO63" s="38">
        <v>-186934</v>
      </c>
      <c r="AP63" s="38">
        <v>-204547</v>
      </c>
      <c r="AQ63" s="39">
        <v>-753494</v>
      </c>
      <c r="AR63" s="39">
        <f>+AR16</f>
        <v>-753494</v>
      </c>
      <c r="AS63" s="38">
        <v>-201708</v>
      </c>
      <c r="AT63" s="38">
        <v>-207027</v>
      </c>
      <c r="AU63" s="38">
        <v>-212332</v>
      </c>
      <c r="AV63" s="38">
        <v>-215431</v>
      </c>
      <c r="AW63" s="39">
        <v>-836498</v>
      </c>
      <c r="AX63" s="39">
        <f>+AX16</f>
        <v>-836498</v>
      </c>
      <c r="AY63" s="38">
        <v>-222923</v>
      </c>
      <c r="AZ63" s="38">
        <v>-220256</v>
      </c>
      <c r="BA63" s="38">
        <v>-230000</v>
      </c>
      <c r="BB63" s="38">
        <v>-225329</v>
      </c>
      <c r="BC63" s="39">
        <v>-898508</v>
      </c>
      <c r="BD63" s="39">
        <f>+BD16</f>
        <v>-898508</v>
      </c>
      <c r="BE63" s="38">
        <v>-214592</v>
      </c>
      <c r="BF63" s="38">
        <v>-189373</v>
      </c>
      <c r="BG63" s="38">
        <f>BG16</f>
        <v>-207555</v>
      </c>
      <c r="BH63" s="38">
        <v>-249267</v>
      </c>
      <c r="BI63" s="39">
        <f>SUM(BE63:BH63)</f>
        <v>-860787</v>
      </c>
      <c r="BJ63" s="39">
        <f>+BJ16</f>
        <v>-860787</v>
      </c>
      <c r="BK63" s="38">
        <f>BK16</f>
        <v>-220781</v>
      </c>
      <c r="BL63" s="38">
        <f>BL16</f>
        <v>-225303</v>
      </c>
      <c r="BM63" s="38">
        <f>BM16</f>
        <v>-222499</v>
      </c>
      <c r="BN63" s="38">
        <f>BN16</f>
        <v>-213525</v>
      </c>
      <c r="BO63" s="39">
        <f>SUM(BK63:BN63)</f>
        <v>-882108</v>
      </c>
      <c r="BP63" s="39">
        <f>+BP16</f>
        <v>-882108</v>
      </c>
      <c r="BQ63" s="38">
        <f t="shared" ref="BQ63:BS63" si="94">BQ16</f>
        <v>-221962</v>
      </c>
      <c r="BR63" s="38">
        <f t="shared" si="94"/>
        <v>-225043</v>
      </c>
      <c r="BS63" s="38">
        <f t="shared" si="94"/>
        <v>-220830</v>
      </c>
      <c r="BT63" s="38">
        <f>BT16</f>
        <v>-252389</v>
      </c>
      <c r="BU63" s="39">
        <f>SUM(BQ63:BT63)</f>
        <v>-920224</v>
      </c>
      <c r="BV63" s="39">
        <f>+BV16</f>
        <v>-920224</v>
      </c>
      <c r="BW63" s="38">
        <f t="shared" ref="BW63:BZ63" si="95">BW16</f>
        <v>-241756</v>
      </c>
      <c r="BX63" s="38">
        <f t="shared" si="95"/>
        <v>-263733</v>
      </c>
      <c r="BY63" s="38">
        <f t="shared" si="95"/>
        <v>-260237</v>
      </c>
      <c r="BZ63" s="38">
        <f t="shared" si="95"/>
        <v>-248208</v>
      </c>
      <c r="CA63" s="39">
        <f>SUM(BW63:BZ63)</f>
        <v>-1013934</v>
      </c>
      <c r="CB63" s="39">
        <f t="shared" si="66"/>
        <v>-1013934</v>
      </c>
      <c r="CC63" s="38">
        <f>CC16</f>
        <v>-254200</v>
      </c>
      <c r="CD63" s="38">
        <f>CD16</f>
        <v>-255807</v>
      </c>
      <c r="CE63" s="38">
        <f>CE16</f>
        <v>-242241</v>
      </c>
      <c r="CF63" s="38">
        <f>CF16</f>
        <v>-230343</v>
      </c>
      <c r="CG63" s="39">
        <f>SUM(CC63:CF63)</f>
        <v>-982591</v>
      </c>
      <c r="CH63" s="39">
        <f t="shared" si="93"/>
        <v>-982591</v>
      </c>
      <c r="CI63" s="38">
        <f>CI16</f>
        <v>-245142</v>
      </c>
      <c r="CJ63" s="38">
        <f>CJ16</f>
        <v>-251622</v>
      </c>
      <c r="CK63" s="38">
        <f>CK16</f>
        <v>-258552</v>
      </c>
      <c r="CL63" s="38">
        <f>CL16</f>
        <v>-300905</v>
      </c>
      <c r="CM63" s="39">
        <f>SUM(CI63:CL63)</f>
        <v>-1056221</v>
      </c>
    </row>
    <row r="64" spans="2:91" ht="12" x14ac:dyDescent="0.3">
      <c r="B64" s="111" t="s">
        <v>92</v>
      </c>
      <c r="C64" s="76">
        <v>11550.629000000001</v>
      </c>
      <c r="D64" s="77">
        <v>77009.987999999998</v>
      </c>
      <c r="E64" s="77">
        <v>147995.321</v>
      </c>
      <c r="F64" s="77">
        <v>112479.55</v>
      </c>
      <c r="G64" s="77">
        <v>407449.94299999997</v>
      </c>
      <c r="H64" s="81">
        <f>+H62+H63</f>
        <v>374958.09100000001</v>
      </c>
      <c r="I64" s="77">
        <v>148306</v>
      </c>
      <c r="J64" s="77">
        <v>309554</v>
      </c>
      <c r="K64" s="77">
        <v>395587</v>
      </c>
      <c r="L64" s="77">
        <v>212958</v>
      </c>
      <c r="M64" s="77">
        <v>1066405</v>
      </c>
      <c r="N64" s="81">
        <f>+N62+N63</f>
        <v>1066405</v>
      </c>
      <c r="O64" s="77">
        <v>539124</v>
      </c>
      <c r="P64" s="77">
        <v>721316</v>
      </c>
      <c r="Q64" s="77">
        <v>805058</v>
      </c>
      <c r="R64" s="77">
        <v>874197</v>
      </c>
      <c r="S64" s="77">
        <v>2939695</v>
      </c>
      <c r="T64" s="81">
        <f>+T62+T63</f>
        <v>2939695</v>
      </c>
      <c r="U64" s="77">
        <v>1269305</v>
      </c>
      <c r="V64" s="77">
        <v>1613943</v>
      </c>
      <c r="W64" s="77">
        <v>1459574</v>
      </c>
      <c r="X64" s="77">
        <v>1571012</v>
      </c>
      <c r="Y64" s="77">
        <v>5913834</v>
      </c>
      <c r="Z64" s="81">
        <f>+Z62+Z63</f>
        <v>5753848</v>
      </c>
      <c r="AA64" s="77">
        <v>1636129</v>
      </c>
      <c r="AB64" s="81">
        <v>1875727</v>
      </c>
      <c r="AC64" s="81">
        <v>2159049</v>
      </c>
      <c r="AD64" s="81">
        <v>2361786</v>
      </c>
      <c r="AE64" s="81">
        <v>8032691</v>
      </c>
      <c r="AF64" s="81">
        <f>+AF62+AF63</f>
        <v>8032691</v>
      </c>
      <c r="AG64" s="77">
        <v>2385719</v>
      </c>
      <c r="AH64" s="77">
        <v>2393871</v>
      </c>
      <c r="AI64" s="77">
        <v>2537934</v>
      </c>
      <c r="AJ64" s="77">
        <v>2670907</v>
      </c>
      <c r="AK64" s="81">
        <v>9988431</v>
      </c>
      <c r="AL64" s="81">
        <f>+AL62+AL63</f>
        <v>9988431</v>
      </c>
      <c r="AM64" s="77">
        <v>2698476</v>
      </c>
      <c r="AN64" s="77">
        <v>2693386</v>
      </c>
      <c r="AO64" s="77">
        <v>2684730</v>
      </c>
      <c r="AP64" s="77">
        <v>2911231</v>
      </c>
      <c r="AQ64" s="81">
        <v>10987823</v>
      </c>
      <c r="AR64" s="81">
        <f>+AR62+AR63</f>
        <v>10987823</v>
      </c>
      <c r="AS64" s="77">
        <v>3078132</v>
      </c>
      <c r="AT64" s="77">
        <v>3142441</v>
      </c>
      <c r="AU64" s="77">
        <v>3227208</v>
      </c>
      <c r="AV64" s="77">
        <v>3362163</v>
      </c>
      <c r="AW64" s="81">
        <v>12809944</v>
      </c>
      <c r="AX64" s="81">
        <f>+AX62+AX63</f>
        <v>12809944</v>
      </c>
      <c r="AY64" s="77">
        <v>3444732</v>
      </c>
      <c r="AZ64" s="77">
        <v>3527086</v>
      </c>
      <c r="BA64" s="77">
        <v>3544632</v>
      </c>
      <c r="BB64" s="77">
        <v>3798646.76321</v>
      </c>
      <c r="BC64" s="81">
        <v>14315096.76321</v>
      </c>
      <c r="BD64" s="81">
        <f>+BD62+BD63</f>
        <v>14321097</v>
      </c>
      <c r="BE64" s="77">
        <v>3945493</v>
      </c>
      <c r="BF64" s="77">
        <v>3055639</v>
      </c>
      <c r="BG64" s="77">
        <f>SUM(BG62:BG63)</f>
        <v>3200780</v>
      </c>
      <c r="BH64" s="77">
        <f>SUM(BH62:BH63)</f>
        <v>3863236</v>
      </c>
      <c r="BI64" s="81">
        <f>SUM(BE64:BH64)</f>
        <v>14065148</v>
      </c>
      <c r="BJ64" s="81">
        <f>+BJ62+BJ63</f>
        <v>14065147</v>
      </c>
      <c r="BK64" s="77">
        <f>SUM(BK62:BK63)</f>
        <v>3999311.277900001</v>
      </c>
      <c r="BL64" s="77">
        <f>SUM(BL62:BL63)</f>
        <v>4015751</v>
      </c>
      <c r="BM64" s="77">
        <f>SUM(BM62:BM63)</f>
        <v>4133639</v>
      </c>
      <c r="BN64" s="77">
        <f>SUM(BN62:BN63)</f>
        <v>4390863</v>
      </c>
      <c r="BO64" s="81">
        <f>SUM(BK64:BN64)</f>
        <v>16539564.277900001</v>
      </c>
      <c r="BP64" s="81">
        <f>+BP62+BP63</f>
        <v>16539564</v>
      </c>
      <c r="BQ64" s="77">
        <f>SUM(BQ62:BQ63)</f>
        <v>4394035</v>
      </c>
      <c r="BR64" s="77">
        <f>SUM(BR62:BR63)</f>
        <v>4321679</v>
      </c>
      <c r="BS64" s="77">
        <f>SUM(BS62:BS63)</f>
        <v>4564196</v>
      </c>
      <c r="BT64" s="77">
        <f>SUM(BT62:BT63)</f>
        <v>4619662</v>
      </c>
      <c r="BU64" s="81">
        <f>SUM(BQ64:BT64)</f>
        <v>17899572</v>
      </c>
      <c r="BV64" s="81">
        <f>+BV62+BV63</f>
        <v>17899573</v>
      </c>
      <c r="BW64" s="77">
        <f>SUM(BW62:BW63)</f>
        <v>4758386</v>
      </c>
      <c r="BX64" s="77">
        <f>SUM(BX62:BX63)</f>
        <v>4759890</v>
      </c>
      <c r="BY64" s="77">
        <f>SUM(BY62:BY63)</f>
        <v>4769986</v>
      </c>
      <c r="BZ64" s="77">
        <f>SUM(BZ62:BZ63)</f>
        <v>4863006</v>
      </c>
      <c r="CA64" s="81">
        <f>SUM(BW64:BZ64)</f>
        <v>19151268</v>
      </c>
      <c r="CB64" s="81">
        <f t="shared" si="66"/>
        <v>19151268</v>
      </c>
      <c r="CC64" s="77">
        <f>SUM(CC62:CC63)</f>
        <v>4932468</v>
      </c>
      <c r="CD64" s="77">
        <f>SUM(CD62:CD63)</f>
        <v>4864000</v>
      </c>
      <c r="CE64" s="77">
        <f>SUM(CE62:CE63)</f>
        <v>5170254</v>
      </c>
      <c r="CF64" s="77">
        <f>SUM(CF62:CF63)</f>
        <v>5346764</v>
      </c>
      <c r="CG64" s="77">
        <f>SUM(CG62:CG63)</f>
        <v>20313486</v>
      </c>
      <c r="CH64" s="81">
        <f t="shared" si="93"/>
        <v>20313486</v>
      </c>
      <c r="CI64" s="77">
        <f>SUM(CI62:CI63)</f>
        <v>5404620</v>
      </c>
      <c r="CJ64" s="77">
        <f>SUM(CJ62:CJ63)</f>
        <v>5326924</v>
      </c>
      <c r="CK64" s="77">
        <f>SUM(CK62:CK63)</f>
        <v>5322880</v>
      </c>
      <c r="CL64" s="77">
        <f>SUM(CL62:CL63)</f>
        <v>5778776</v>
      </c>
      <c r="CM64" s="77">
        <f>SUM(CM62:CM63)</f>
        <v>21833200</v>
      </c>
    </row>
    <row r="65" spans="2:91" ht="12.5" thickBot="1" x14ac:dyDescent="0.35">
      <c r="B65" s="47"/>
      <c r="C65" s="63"/>
      <c r="D65" s="38"/>
      <c r="E65" s="38"/>
      <c r="F65" s="38"/>
      <c r="G65" s="38"/>
      <c r="H65" s="38"/>
      <c r="I65" s="38"/>
      <c r="J65" s="38"/>
      <c r="K65" s="38"/>
      <c r="L65" s="38"/>
      <c r="M65" s="58"/>
      <c r="N65" s="58"/>
      <c r="O65" s="38"/>
      <c r="P65" s="38"/>
      <c r="Q65" s="38"/>
      <c r="R65" s="38"/>
      <c r="S65" s="58"/>
      <c r="T65" s="58"/>
      <c r="U65" s="38"/>
      <c r="V65" s="38"/>
      <c r="W65" s="38"/>
      <c r="X65" s="38"/>
      <c r="Y65" s="58"/>
      <c r="Z65" s="58"/>
      <c r="AA65" s="38"/>
      <c r="AB65" s="39"/>
      <c r="AC65" s="39"/>
      <c r="AD65" s="39"/>
      <c r="AE65" s="58"/>
      <c r="AF65" s="58"/>
      <c r="AG65" s="58"/>
      <c r="AH65" s="58"/>
      <c r="AI65" s="58"/>
      <c r="AJ65" s="58"/>
      <c r="AK65" s="47"/>
      <c r="AL65" s="47"/>
      <c r="AM65" s="58"/>
      <c r="AN65" s="58"/>
      <c r="AO65" s="58"/>
      <c r="AP65" s="58"/>
      <c r="AQ65" s="47"/>
      <c r="AR65" s="47"/>
      <c r="AS65" s="47"/>
      <c r="AT65" s="47"/>
      <c r="AU65" s="47"/>
      <c r="AV65" s="47"/>
      <c r="AW65" s="47"/>
      <c r="AX65" s="47"/>
      <c r="AY65" s="47"/>
      <c r="AZ65" s="54"/>
      <c r="BA65" s="54"/>
      <c r="BB65" s="47"/>
      <c r="BC65" s="47"/>
      <c r="BD65" s="47"/>
      <c r="BE65" s="47"/>
      <c r="BF65" s="54"/>
      <c r="BG65" s="54"/>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row>
    <row r="66" spans="2:91" ht="13" thickTop="1" thickBot="1" x14ac:dyDescent="0.35">
      <c r="B66" s="31" t="s">
        <v>246</v>
      </c>
      <c r="C66" s="32" t="s">
        <v>198</v>
      </c>
      <c r="D66" s="32" t="s">
        <v>202</v>
      </c>
      <c r="E66" s="32" t="s">
        <v>205</v>
      </c>
      <c r="F66" s="32" t="s">
        <v>208</v>
      </c>
      <c r="G66" s="34" t="s">
        <v>61</v>
      </c>
      <c r="H66" s="166">
        <v>2011</v>
      </c>
      <c r="I66" s="32" t="s">
        <v>199</v>
      </c>
      <c r="J66" s="32" t="s">
        <v>203</v>
      </c>
      <c r="K66" s="32" t="s">
        <v>206</v>
      </c>
      <c r="L66" s="32" t="s">
        <v>209</v>
      </c>
      <c r="M66" s="34" t="s">
        <v>62</v>
      </c>
      <c r="N66" s="166">
        <v>2012</v>
      </c>
      <c r="O66" s="32" t="s">
        <v>200</v>
      </c>
      <c r="P66" s="32" t="s">
        <v>204</v>
      </c>
      <c r="Q66" s="32" t="s">
        <v>207</v>
      </c>
      <c r="R66" s="32" t="s">
        <v>210</v>
      </c>
      <c r="S66" s="34">
        <v>2013</v>
      </c>
      <c r="T66" s="166">
        <v>2013</v>
      </c>
      <c r="U66" s="32" t="s">
        <v>201</v>
      </c>
      <c r="V66" s="32" t="s">
        <v>20</v>
      </c>
      <c r="W66" s="32" t="s">
        <v>19</v>
      </c>
      <c r="X66" s="32" t="s">
        <v>18</v>
      </c>
      <c r="Y66" s="34">
        <v>2014</v>
      </c>
      <c r="Z66" s="166">
        <v>2014</v>
      </c>
      <c r="AA66" s="32" t="s">
        <v>17</v>
      </c>
      <c r="AB66" s="32" t="s">
        <v>16</v>
      </c>
      <c r="AC66" s="32" t="s">
        <v>15</v>
      </c>
      <c r="AD66" s="32" t="s">
        <v>14</v>
      </c>
      <c r="AE66" s="34">
        <v>2015</v>
      </c>
      <c r="AF66" s="166">
        <v>2015</v>
      </c>
      <c r="AG66" s="32" t="s">
        <v>13</v>
      </c>
      <c r="AH66" s="32" t="s">
        <v>12</v>
      </c>
      <c r="AI66" s="32" t="s">
        <v>11</v>
      </c>
      <c r="AJ66" s="32" t="s">
        <v>10</v>
      </c>
      <c r="AK66" s="34">
        <v>2016</v>
      </c>
      <c r="AL66" s="166">
        <v>2016</v>
      </c>
      <c r="AM66" s="32" t="s">
        <v>9</v>
      </c>
      <c r="AN66" s="32" t="s">
        <v>8</v>
      </c>
      <c r="AO66" s="32" t="s">
        <v>29</v>
      </c>
      <c r="AP66" s="32" t="s">
        <v>30</v>
      </c>
      <c r="AQ66" s="34">
        <v>2017</v>
      </c>
      <c r="AR66" s="166">
        <v>2017</v>
      </c>
      <c r="AS66" s="32" t="s">
        <v>7</v>
      </c>
      <c r="AT66" s="32" t="s">
        <v>6</v>
      </c>
      <c r="AU66" s="32" t="s">
        <v>5</v>
      </c>
      <c r="AV66" s="32" t="s">
        <v>4</v>
      </c>
      <c r="AW66" s="34">
        <v>2018</v>
      </c>
      <c r="AX66" s="166">
        <v>2018</v>
      </c>
      <c r="AY66" s="32" t="s">
        <v>3</v>
      </c>
      <c r="AZ66" s="32" t="s">
        <v>2</v>
      </c>
      <c r="BA66" s="32" t="s">
        <v>1</v>
      </c>
      <c r="BB66" s="32" t="s">
        <v>45</v>
      </c>
      <c r="BC66" s="34">
        <v>2019</v>
      </c>
      <c r="BD66" s="166">
        <v>2019</v>
      </c>
      <c r="BE66" s="32" t="s">
        <v>283</v>
      </c>
      <c r="BF66" s="32" t="s">
        <v>284</v>
      </c>
      <c r="BG66" s="32" t="s">
        <v>285</v>
      </c>
      <c r="BH66" s="32" t="s">
        <v>286</v>
      </c>
      <c r="BI66" s="34">
        <v>2020</v>
      </c>
      <c r="BJ66" s="166">
        <f>+BJ55</f>
        <v>2020</v>
      </c>
      <c r="BK66" s="32" t="s">
        <v>302</v>
      </c>
      <c r="BL66" s="32" t="s">
        <v>305</v>
      </c>
      <c r="BM66" s="32" t="s">
        <v>310</v>
      </c>
      <c r="BN66" s="32" t="s">
        <v>310</v>
      </c>
      <c r="BO66" s="34">
        <f>+BO55</f>
        <v>2021</v>
      </c>
      <c r="BP66" s="166">
        <v>2021</v>
      </c>
      <c r="BQ66" s="32" t="s">
        <v>318</v>
      </c>
      <c r="BR66" s="32" t="s">
        <v>329</v>
      </c>
      <c r="BS66" s="167" t="str">
        <f>+BS3</f>
        <v>3T22</v>
      </c>
      <c r="BT66" s="32" t="s">
        <v>350</v>
      </c>
      <c r="BU66" s="34">
        <f>BU3</f>
        <v>2022</v>
      </c>
      <c r="BV66" s="166">
        <v>2022</v>
      </c>
      <c r="BW66" s="32" t="str">
        <f>+BW55</f>
        <v>1T23</v>
      </c>
      <c r="BX66" s="32" t="str">
        <f t="shared" ref="BX66:CB66" si="96">+BX55</f>
        <v>2T23</v>
      </c>
      <c r="BY66" s="167" t="str">
        <f t="shared" si="96"/>
        <v>3T23</v>
      </c>
      <c r="BZ66" s="32" t="str">
        <f t="shared" si="96"/>
        <v>4T23</v>
      </c>
      <c r="CA66" s="34">
        <f t="shared" si="96"/>
        <v>2023</v>
      </c>
      <c r="CB66" s="166" t="str">
        <f t="shared" si="96"/>
        <v>2023 (A)</v>
      </c>
      <c r="CC66" s="32" t="str">
        <f>+CC55</f>
        <v>1T24</v>
      </c>
      <c r="CD66" s="32" t="str">
        <f t="shared" ref="CD66:CF66" si="97">+CD55</f>
        <v>2T24</v>
      </c>
      <c r="CE66" s="167" t="str">
        <f t="shared" si="97"/>
        <v>3T24</v>
      </c>
      <c r="CF66" s="32" t="str">
        <f t="shared" si="97"/>
        <v>4T24</v>
      </c>
      <c r="CG66" s="34">
        <f>+CG55</f>
        <v>2024</v>
      </c>
      <c r="CH66" s="166" t="str">
        <f t="shared" ref="CH66" si="98">+CH55</f>
        <v>2024 (A)</v>
      </c>
      <c r="CI66" s="32" t="str">
        <f>+CI55</f>
        <v>1T25</v>
      </c>
      <c r="CJ66" s="32" t="str">
        <f t="shared" ref="CJ66:CL66" si="99">+CJ55</f>
        <v>2T25</v>
      </c>
      <c r="CK66" s="167" t="str">
        <f t="shared" si="99"/>
        <v>3T25</v>
      </c>
      <c r="CL66" s="32" t="str">
        <f t="shared" si="99"/>
        <v>4T25</v>
      </c>
      <c r="CM66" s="34">
        <f>+CM55</f>
        <v>2025</v>
      </c>
    </row>
    <row r="67" spans="2:91" ht="12.5" thickTop="1" x14ac:dyDescent="0.3">
      <c r="B67" s="108" t="s">
        <v>336</v>
      </c>
      <c r="C67" s="70">
        <v>16761.296000000002</v>
      </c>
      <c r="D67" s="71">
        <v>108667.23300000001</v>
      </c>
      <c r="E67" s="71">
        <v>160841.48500000002</v>
      </c>
      <c r="F67" s="71">
        <v>128107.027</v>
      </c>
      <c r="G67" s="71">
        <v>415053.56400000001</v>
      </c>
      <c r="H67" s="71">
        <f>+H37</f>
        <v>415053.56400000001</v>
      </c>
      <c r="I67" s="71">
        <v>142322</v>
      </c>
      <c r="J67" s="71">
        <v>304839</v>
      </c>
      <c r="K67" s="71">
        <v>588087</v>
      </c>
      <c r="L67" s="71">
        <v>239010</v>
      </c>
      <c r="M67" s="71">
        <v>1274258</v>
      </c>
      <c r="N67" s="71">
        <f>+N37</f>
        <v>1274258</v>
      </c>
      <c r="O67" s="71">
        <v>844792</v>
      </c>
      <c r="P67" s="71">
        <v>425321</v>
      </c>
      <c r="Q67" s="71">
        <v>876868</v>
      </c>
      <c r="R67" s="71">
        <v>6928412</v>
      </c>
      <c r="S67" s="71">
        <v>9075393</v>
      </c>
      <c r="T67" s="71">
        <f>+T37</f>
        <v>9075393</v>
      </c>
      <c r="U67" s="71">
        <v>1054544</v>
      </c>
      <c r="V67" s="71">
        <v>1722457</v>
      </c>
      <c r="W67" s="71">
        <v>660067</v>
      </c>
      <c r="X67" s="71">
        <v>2274017</v>
      </c>
      <c r="Y67" s="71">
        <v>5711085</v>
      </c>
      <c r="Z67" s="71">
        <f>+Z37</f>
        <v>5711085</v>
      </c>
      <c r="AA67" s="71">
        <v>1392952</v>
      </c>
      <c r="AB67" s="71">
        <v>1343496</v>
      </c>
      <c r="AC67" s="71">
        <v>236410</v>
      </c>
      <c r="AD67" s="71">
        <v>2761632</v>
      </c>
      <c r="AE67" s="113">
        <v>5734490</v>
      </c>
      <c r="AF67" s="113">
        <f>+AF37</f>
        <v>5734490</v>
      </c>
      <c r="AG67" s="71">
        <v>2769457</v>
      </c>
      <c r="AH67" s="71">
        <v>2345265</v>
      </c>
      <c r="AI67" s="71">
        <v>1320840</v>
      </c>
      <c r="AJ67" s="71">
        <v>5958350</v>
      </c>
      <c r="AK67" s="113">
        <v>12393912</v>
      </c>
      <c r="AL67" s="113">
        <f>+AL37</f>
        <v>12393912</v>
      </c>
      <c r="AM67" s="71">
        <v>5037184</v>
      </c>
      <c r="AN67" s="71">
        <v>3517708</v>
      </c>
      <c r="AO67" s="71">
        <v>2070901</v>
      </c>
      <c r="AP67" s="71">
        <v>1532387</v>
      </c>
      <c r="AQ67" s="113">
        <v>12158180</v>
      </c>
      <c r="AR67" s="113">
        <f>+AR37</f>
        <v>12158180</v>
      </c>
      <c r="AS67" s="71">
        <v>4819637.0167699996</v>
      </c>
      <c r="AT67" s="71">
        <v>862017.07741999999</v>
      </c>
      <c r="AU67" s="71">
        <v>4582872.07742</v>
      </c>
      <c r="AV67" s="71">
        <v>7006226</v>
      </c>
      <c r="AW67" s="113">
        <v>17270752.171609998</v>
      </c>
      <c r="AX67" s="113">
        <f>+AX37</f>
        <v>17270752.171609998</v>
      </c>
      <c r="AY67" s="71">
        <v>4263838</v>
      </c>
      <c r="AZ67" s="71">
        <v>5473456</v>
      </c>
      <c r="BA67" s="71">
        <v>1970228</v>
      </c>
      <c r="BB67" s="71">
        <v>7017487.9495400004</v>
      </c>
      <c r="BC67" s="113">
        <v>18725009.94954</v>
      </c>
      <c r="BD67" s="113">
        <f>+BD37</f>
        <v>18150318</v>
      </c>
      <c r="BE67" s="71">
        <v>-15059421</v>
      </c>
      <c r="BF67" s="71">
        <v>13357836</v>
      </c>
      <c r="BG67" s="71">
        <f>BG37</f>
        <v>4539139</v>
      </c>
      <c r="BH67" s="71">
        <v>11121680</v>
      </c>
      <c r="BI67" s="113">
        <v>13959234</v>
      </c>
      <c r="BJ67" s="113">
        <f>+BJ37</f>
        <v>13959234</v>
      </c>
      <c r="BK67" s="71">
        <f>BK37</f>
        <v>-338466.72209999897</v>
      </c>
      <c r="BL67" s="71">
        <f>BL37</f>
        <v>1519184</v>
      </c>
      <c r="BM67" s="71">
        <f>BM37</f>
        <v>-538720</v>
      </c>
      <c r="BN67" s="71">
        <f>BN37</f>
        <v>3368007</v>
      </c>
      <c r="BO67" s="113">
        <v>13959234</v>
      </c>
      <c r="BP67" s="113">
        <f>+BP37</f>
        <v>4010004</v>
      </c>
      <c r="BQ67" s="71">
        <f t="shared" ref="BQ67:BS67" si="100">BQ37</f>
        <v>4362438</v>
      </c>
      <c r="BR67" s="71">
        <f t="shared" si="100"/>
        <v>2619820</v>
      </c>
      <c r="BS67" s="71">
        <f t="shared" si="100"/>
        <v>4385796</v>
      </c>
      <c r="BT67" s="71">
        <f>BT37</f>
        <v>12728835</v>
      </c>
      <c r="BU67" s="113">
        <f t="shared" ref="BU67:BU77" si="101">SUM(BQ67:BT67)</f>
        <v>24096889</v>
      </c>
      <c r="BV67" s="113">
        <f>+BV37</f>
        <v>24096888</v>
      </c>
      <c r="BW67" s="71">
        <f t="shared" ref="BW67:BY67" si="102">BW37</f>
        <v>6669344</v>
      </c>
      <c r="BX67" s="71">
        <f>BX37</f>
        <v>5683506</v>
      </c>
      <c r="BY67" s="71">
        <f t="shared" si="102"/>
        <v>-73659</v>
      </c>
      <c r="BZ67" s="71">
        <f>BZ37</f>
        <v>6064874</v>
      </c>
      <c r="CA67" s="185">
        <f>SUM(BW67:BZ67)</f>
        <v>18344065</v>
      </c>
      <c r="CB67" s="185">
        <f t="shared" ref="CB67:CB77" si="103">SUM(BW67:BZ67)</f>
        <v>18344065</v>
      </c>
      <c r="CC67" s="71">
        <f>CC37</f>
        <v>2769331</v>
      </c>
      <c r="CD67" s="71">
        <f>CD37</f>
        <v>4229006</v>
      </c>
      <c r="CE67" s="71">
        <f t="shared" ref="CE67" si="104">CE37</f>
        <v>-1030436</v>
      </c>
      <c r="CF67" s="71">
        <f>CF37</f>
        <v>4039051</v>
      </c>
      <c r="CG67" s="185">
        <f>SUM(CC67:CF67)</f>
        <v>10006952</v>
      </c>
      <c r="CH67" s="185">
        <f t="shared" ref="CH67" si="105">SUM(CC67:CF67)</f>
        <v>10006952</v>
      </c>
      <c r="CI67" s="71">
        <f>CI37</f>
        <v>1585692</v>
      </c>
      <c r="CJ67" s="71">
        <f>CJ37</f>
        <v>5428050</v>
      </c>
      <c r="CK67" s="71">
        <f t="shared" ref="CK67" si="106">CK37</f>
        <v>3711422</v>
      </c>
      <c r="CL67" s="71">
        <f>CL37</f>
        <v>16324159</v>
      </c>
      <c r="CM67" s="185">
        <f>SUM(CI67:CL67)</f>
        <v>27049323</v>
      </c>
    </row>
    <row r="68" spans="2:91" ht="12" x14ac:dyDescent="0.3">
      <c r="B68" s="109" t="s">
        <v>93</v>
      </c>
      <c r="C68" s="63">
        <v>0</v>
      </c>
      <c r="D68" s="38">
        <v>0</v>
      </c>
      <c r="E68" s="38">
        <v>0</v>
      </c>
      <c r="F68" s="38">
        <v>0</v>
      </c>
      <c r="G68" s="38">
        <v>0</v>
      </c>
      <c r="H68" s="38">
        <f>-H30</f>
        <v>0</v>
      </c>
      <c r="I68" s="38">
        <v>0</v>
      </c>
      <c r="J68" s="38">
        <v>0</v>
      </c>
      <c r="K68" s="38">
        <v>0</v>
      </c>
      <c r="L68" s="38">
        <v>-148995</v>
      </c>
      <c r="M68" s="38">
        <v>-148995</v>
      </c>
      <c r="N68" s="38">
        <f>-N30</f>
        <v>-148995</v>
      </c>
      <c r="O68" s="38">
        <v>0</v>
      </c>
      <c r="P68" s="38">
        <v>0</v>
      </c>
      <c r="Q68" s="38">
        <v>0</v>
      </c>
      <c r="R68" s="38">
        <v>-7720462</v>
      </c>
      <c r="S68" s="38">
        <v>-7720462</v>
      </c>
      <c r="T68" s="38">
        <f>-T30</f>
        <v>-7720462</v>
      </c>
      <c r="U68" s="38">
        <v>-294907</v>
      </c>
      <c r="V68" s="38">
        <v>-777925</v>
      </c>
      <c r="W68" s="38">
        <v>-592243</v>
      </c>
      <c r="X68" s="38">
        <v>-2994685</v>
      </c>
      <c r="Y68" s="38">
        <v>-4659760</v>
      </c>
      <c r="Z68" s="38">
        <f>-Z30</f>
        <v>-4659760</v>
      </c>
      <c r="AA68" s="38">
        <v>-1164940</v>
      </c>
      <c r="AB68" s="38">
        <v>-713088</v>
      </c>
      <c r="AC68" s="38">
        <v>-959684</v>
      </c>
      <c r="AD68" s="38">
        <v>-1876329</v>
      </c>
      <c r="AE68" s="39">
        <v>-4714041</v>
      </c>
      <c r="AF68" s="39">
        <f>-AF30</f>
        <v>-4714041</v>
      </c>
      <c r="AG68" s="38">
        <v>-1274845</v>
      </c>
      <c r="AH68" s="38">
        <v>-2897147</v>
      </c>
      <c r="AI68" s="38">
        <v>-908677</v>
      </c>
      <c r="AJ68" s="38">
        <v>-4033415</v>
      </c>
      <c r="AK68" s="39">
        <v>-9114084</v>
      </c>
      <c r="AL68" s="39">
        <f>-AL30</f>
        <v>-9114084</v>
      </c>
      <c r="AM68" s="38">
        <v>-1144207</v>
      </c>
      <c r="AN68" s="38">
        <v>-1287638</v>
      </c>
      <c r="AO68" s="38">
        <v>-995511</v>
      </c>
      <c r="AP68" s="38">
        <v>-1433983</v>
      </c>
      <c r="AQ68" s="39">
        <v>-4861339</v>
      </c>
      <c r="AR68" s="39">
        <f>-AR30</f>
        <v>-4861339</v>
      </c>
      <c r="AS68" s="38">
        <v>-1816808</v>
      </c>
      <c r="AT68" s="38">
        <v>-1367534</v>
      </c>
      <c r="AU68" s="38">
        <v>-926804</v>
      </c>
      <c r="AV68" s="38">
        <v>-6780794</v>
      </c>
      <c r="AW68" s="39">
        <v>-10891940</v>
      </c>
      <c r="AX68" s="39">
        <f>-AX30</f>
        <v>-10891940</v>
      </c>
      <c r="AY68" s="38">
        <v>-1957745</v>
      </c>
      <c r="AZ68" s="38">
        <v>-3225542</v>
      </c>
      <c r="BA68" s="38">
        <v>-1072250</v>
      </c>
      <c r="BB68" s="38">
        <v>-2714609</v>
      </c>
      <c r="BC68" s="39">
        <v>-8970146</v>
      </c>
      <c r="BD68" s="39">
        <f>-BD30</f>
        <v>-8161085</v>
      </c>
      <c r="BE68" s="38">
        <v>10824</v>
      </c>
      <c r="BF68" s="38">
        <v>-8681861</v>
      </c>
      <c r="BG68" s="38">
        <v>-761867</v>
      </c>
      <c r="BH68" s="38">
        <v>-666979</v>
      </c>
      <c r="BI68" s="39">
        <v>-10099883</v>
      </c>
      <c r="BJ68" s="39">
        <f>-BJ30</f>
        <v>-10099883</v>
      </c>
      <c r="BK68" s="38">
        <f>-BK30</f>
        <v>-155588</v>
      </c>
      <c r="BL68" s="38">
        <f>-BL30</f>
        <v>3747915</v>
      </c>
      <c r="BM68" s="38">
        <v>-12609</v>
      </c>
      <c r="BN68" s="38">
        <f>-BN30</f>
        <v>-1000590</v>
      </c>
      <c r="BO68" s="39">
        <v>-10099883</v>
      </c>
      <c r="BP68" s="39">
        <f t="shared" ref="BP68:BS68" si="107">-BP30</f>
        <v>2579128</v>
      </c>
      <c r="BQ68" s="38">
        <f t="shared" si="107"/>
        <v>-305170</v>
      </c>
      <c r="BR68" s="38">
        <f t="shared" si="107"/>
        <v>-183770</v>
      </c>
      <c r="BS68" s="38">
        <f t="shared" si="107"/>
        <v>-3418559</v>
      </c>
      <c r="BT68" s="38">
        <f>-BT30</f>
        <v>-7195347</v>
      </c>
      <c r="BU68" s="39">
        <f>SUM(BQ68:BT68)</f>
        <v>-11102846</v>
      </c>
      <c r="BV68" s="39">
        <f t="shared" ref="BV68:BW68" si="108">-BV30</f>
        <v>-11102845</v>
      </c>
      <c r="BW68" s="180">
        <f t="shared" si="108"/>
        <v>-230021</v>
      </c>
      <c r="BX68" s="180">
        <f t="shared" ref="BX68:BY68" si="109">-BX30</f>
        <v>-816918</v>
      </c>
      <c r="BY68" s="180">
        <f t="shared" si="109"/>
        <v>-73380</v>
      </c>
      <c r="BZ68" s="180">
        <f t="shared" ref="BZ68" si="110">-BZ30</f>
        <v>-1043821</v>
      </c>
      <c r="CA68" s="179">
        <f>SUM(BW68:BZ68)</f>
        <v>-2164140</v>
      </c>
      <c r="CB68" s="179">
        <f t="shared" si="103"/>
        <v>-2164140</v>
      </c>
      <c r="CC68" s="180">
        <f t="shared" ref="CC68:CF68" si="111">-CC30</f>
        <v>-83422</v>
      </c>
      <c r="CD68" s="180">
        <f t="shared" si="111"/>
        <v>-6713046</v>
      </c>
      <c r="CE68" s="180">
        <f t="shared" si="111"/>
        <v>-1270364</v>
      </c>
      <c r="CF68" s="180">
        <f t="shared" si="111"/>
        <v>-3121192</v>
      </c>
      <c r="CG68" s="179">
        <f>SUM(CC68:CF68)</f>
        <v>-11188024</v>
      </c>
      <c r="CH68" s="179">
        <f t="shared" ref="CH68:CH77" si="112">SUM(CC68:CF68)</f>
        <v>-11188024</v>
      </c>
      <c r="CI68" s="180">
        <f t="shared" ref="CI68" si="113">-CI30</f>
        <v>15595</v>
      </c>
      <c r="CJ68" s="180">
        <f t="shared" ref="CJ68:CL68" si="114">-CJ30</f>
        <v>-225366</v>
      </c>
      <c r="CK68" s="180">
        <f t="shared" si="114"/>
        <v>-44465</v>
      </c>
      <c r="CL68" s="180">
        <f t="shared" si="114"/>
        <v>-11439737</v>
      </c>
      <c r="CM68" s="179">
        <f>SUM(CI68:CL68)</f>
        <v>-11693973</v>
      </c>
    </row>
    <row r="69" spans="2:91" ht="12" x14ac:dyDescent="0.3">
      <c r="B69" s="109" t="s">
        <v>94</v>
      </c>
      <c r="C69" s="63">
        <v>0</v>
      </c>
      <c r="D69" s="38">
        <v>0</v>
      </c>
      <c r="E69" s="38">
        <v>0</v>
      </c>
      <c r="F69" s="38">
        <v>0</v>
      </c>
      <c r="G69" s="38">
        <v>-155.59799999999998</v>
      </c>
      <c r="H69" s="38">
        <f>-H28</f>
        <v>-174.14699999999999</v>
      </c>
      <c r="I69" s="38">
        <v>-3718</v>
      </c>
      <c r="J69" s="38">
        <v>-619</v>
      </c>
      <c r="K69" s="38">
        <v>-139249</v>
      </c>
      <c r="L69" s="38">
        <v>72032</v>
      </c>
      <c r="M69" s="38">
        <v>-71554</v>
      </c>
      <c r="N69" s="38">
        <f>-N28</f>
        <v>-71554</v>
      </c>
      <c r="O69" s="38">
        <v>-266699</v>
      </c>
      <c r="P69" s="38">
        <v>248195</v>
      </c>
      <c r="Q69" s="38">
        <v>27159</v>
      </c>
      <c r="R69" s="38">
        <v>7771</v>
      </c>
      <c r="S69" s="38">
        <v>16426</v>
      </c>
      <c r="T69" s="38">
        <f>-T28</f>
        <v>16426</v>
      </c>
      <c r="U69" s="38">
        <v>-101818</v>
      </c>
      <c r="V69" s="38">
        <v>-333187</v>
      </c>
      <c r="W69" s="38">
        <v>832824</v>
      </c>
      <c r="X69" s="38">
        <v>1824278</v>
      </c>
      <c r="Y69" s="38">
        <v>2222097</v>
      </c>
      <c r="Z69" s="38">
        <f>-Z28</f>
        <v>2222097</v>
      </c>
      <c r="AA69" s="38">
        <v>784347</v>
      </c>
      <c r="AB69" s="38">
        <v>610311</v>
      </c>
      <c r="AC69" s="38">
        <v>2094798</v>
      </c>
      <c r="AD69" s="38">
        <v>388686</v>
      </c>
      <c r="AE69" s="39">
        <v>3878142</v>
      </c>
      <c r="AF69" s="39">
        <f>-AF28</f>
        <v>3878142</v>
      </c>
      <c r="AG69" s="38">
        <v>-77321</v>
      </c>
      <c r="AH69" s="38">
        <v>1694071</v>
      </c>
      <c r="AI69" s="38">
        <v>1197177</v>
      </c>
      <c r="AJ69" s="38">
        <v>1938680</v>
      </c>
      <c r="AK69" s="39">
        <v>4752607</v>
      </c>
      <c r="AL69" s="39">
        <f>-AL28</f>
        <v>4752607</v>
      </c>
      <c r="AM69" s="38">
        <v>-2481181</v>
      </c>
      <c r="AN69" s="38">
        <v>-653151</v>
      </c>
      <c r="AO69" s="38">
        <v>89190</v>
      </c>
      <c r="AP69" s="38">
        <v>2353601</v>
      </c>
      <c r="AQ69" s="39">
        <v>-691541</v>
      </c>
      <c r="AR69" s="39">
        <f>-AR28</f>
        <v>-691541</v>
      </c>
      <c r="AS69" s="38">
        <v>-1935017</v>
      </c>
      <c r="AT69" s="38">
        <v>2124368</v>
      </c>
      <c r="AU69" s="38">
        <v>-1347913</v>
      </c>
      <c r="AV69" s="38">
        <v>1234703</v>
      </c>
      <c r="AW69" s="39">
        <v>76141</v>
      </c>
      <c r="AX69" s="39">
        <f>-AX28</f>
        <v>76141</v>
      </c>
      <c r="AY69" s="38">
        <v>-491838</v>
      </c>
      <c r="AZ69" s="38">
        <v>-160572</v>
      </c>
      <c r="BA69" s="38">
        <v>953900</v>
      </c>
      <c r="BB69" s="38">
        <v>-1976671</v>
      </c>
      <c r="BC69" s="39">
        <v>-1675181</v>
      </c>
      <c r="BD69" s="39">
        <f>-BD28</f>
        <v>-1559953</v>
      </c>
      <c r="BE69" s="38">
        <v>15389398</v>
      </c>
      <c r="BF69" s="38">
        <v>-3344795</v>
      </c>
      <c r="BG69" s="38">
        <v>-2175209</v>
      </c>
      <c r="BH69" s="38">
        <v>-7710447</v>
      </c>
      <c r="BI69" s="39">
        <v>2158947</v>
      </c>
      <c r="BJ69" s="39">
        <f t="shared" ref="BJ69:BL70" si="115">-BJ28</f>
        <v>2158947</v>
      </c>
      <c r="BK69" s="38">
        <f t="shared" si="115"/>
        <v>2417257</v>
      </c>
      <c r="BL69" s="38">
        <f t="shared" si="115"/>
        <v>-2921318</v>
      </c>
      <c r="BM69" s="38">
        <v>2310825</v>
      </c>
      <c r="BN69" s="38">
        <f>-BN28</f>
        <v>616215</v>
      </c>
      <c r="BO69" s="39">
        <v>2158947</v>
      </c>
      <c r="BP69" s="39">
        <f t="shared" ref="BP69:BS70" si="116">-BP28</f>
        <v>2422979</v>
      </c>
      <c r="BQ69" s="38">
        <f t="shared" si="116"/>
        <v>-1815316</v>
      </c>
      <c r="BR69" s="38">
        <f t="shared" si="116"/>
        <v>-192909</v>
      </c>
      <c r="BS69" s="38">
        <f t="shared" si="116"/>
        <v>1578695</v>
      </c>
      <c r="BT69" s="38">
        <f>-BT28</f>
        <v>-3167185</v>
      </c>
      <c r="BU69" s="39">
        <f t="shared" si="101"/>
        <v>-3596715</v>
      </c>
      <c r="BV69" s="39">
        <f>-BV28</f>
        <v>-3596716</v>
      </c>
      <c r="BW69" s="180">
        <f t="shared" ref="BW69:BW70" si="117">-BW28</f>
        <v>-4175661</v>
      </c>
      <c r="BX69" s="180">
        <f t="shared" ref="BX69:BY69" si="118">-BX28</f>
        <v>-3003798</v>
      </c>
      <c r="BY69" s="180">
        <f t="shared" si="118"/>
        <v>2555496</v>
      </c>
      <c r="BZ69" s="180">
        <f t="shared" ref="BZ69" si="119">-BZ28</f>
        <v>-2830445</v>
      </c>
      <c r="CA69" s="179">
        <f t="shared" ref="CA69:CA75" si="120">SUM(BW69:BZ69)</f>
        <v>-7454408</v>
      </c>
      <c r="CB69" s="179">
        <f t="shared" si="103"/>
        <v>-7454408</v>
      </c>
      <c r="CC69" s="180">
        <f t="shared" ref="CC69:CF70" si="121">-CC28</f>
        <v>-337185</v>
      </c>
      <c r="CD69" s="180">
        <f t="shared" si="121"/>
        <v>4477683</v>
      </c>
      <c r="CE69" s="180">
        <f t="shared" si="121"/>
        <v>4539017</v>
      </c>
      <c r="CF69" s="180">
        <f t="shared" si="121"/>
        <v>1437385</v>
      </c>
      <c r="CG69" s="179">
        <f t="shared" ref="CG69:CG75" si="122">SUM(CC69:CF69)</f>
        <v>10116900</v>
      </c>
      <c r="CH69" s="179">
        <f t="shared" si="112"/>
        <v>10116900</v>
      </c>
      <c r="CI69" s="180">
        <f t="shared" ref="CI69" si="123">-CI28</f>
        <v>706483</v>
      </c>
      <c r="CJ69" s="180">
        <f t="shared" ref="CJ69:CL69" si="124">-CJ28</f>
        <v>-3017413</v>
      </c>
      <c r="CK69" s="180">
        <f t="shared" si="124"/>
        <v>-1290019</v>
      </c>
      <c r="CL69" s="180">
        <f t="shared" si="124"/>
        <v>-3168600</v>
      </c>
      <c r="CM69" s="179">
        <f t="shared" ref="CM69:CM75" si="125">SUM(CI69:CL69)</f>
        <v>-6769549</v>
      </c>
    </row>
    <row r="70" spans="2:91" ht="12" x14ac:dyDescent="0.3">
      <c r="B70" s="109" t="s">
        <v>95</v>
      </c>
      <c r="C70" s="63"/>
      <c r="D70" s="38"/>
      <c r="E70" s="38"/>
      <c r="F70" s="38"/>
      <c r="G70" s="38"/>
      <c r="H70" s="38">
        <f>-H29</f>
        <v>0</v>
      </c>
      <c r="I70" s="38"/>
      <c r="J70" s="38"/>
      <c r="K70" s="38"/>
      <c r="L70" s="38"/>
      <c r="M70" s="38"/>
      <c r="N70" s="38">
        <f>-N29</f>
        <v>0</v>
      </c>
      <c r="O70" s="38"/>
      <c r="P70" s="38"/>
      <c r="Q70" s="38"/>
      <c r="R70" s="38"/>
      <c r="S70" s="38"/>
      <c r="T70" s="38">
        <f>-T29</f>
        <v>0</v>
      </c>
      <c r="U70" s="38"/>
      <c r="V70" s="38"/>
      <c r="W70" s="38"/>
      <c r="X70" s="38"/>
      <c r="Y70" s="38"/>
      <c r="Z70" s="38">
        <f>-Z29</f>
        <v>0</v>
      </c>
      <c r="AA70" s="38"/>
      <c r="AB70" s="38"/>
      <c r="AC70" s="38"/>
      <c r="AD70" s="38"/>
      <c r="AE70" s="39"/>
      <c r="AF70" s="39">
        <f>-AF29</f>
        <v>0</v>
      </c>
      <c r="AG70" s="38"/>
      <c r="AH70" s="38">
        <v>193352</v>
      </c>
      <c r="AI70" s="38">
        <v>-194294</v>
      </c>
      <c r="AJ70" s="38">
        <v>47566</v>
      </c>
      <c r="AK70" s="39">
        <v>46624</v>
      </c>
      <c r="AL70" s="39">
        <f>-AL29</f>
        <v>46624</v>
      </c>
      <c r="AM70" s="38">
        <v>145923</v>
      </c>
      <c r="AN70" s="38">
        <v>-95984</v>
      </c>
      <c r="AO70" s="38">
        <v>292141</v>
      </c>
      <c r="AP70" s="38">
        <v>-1003691</v>
      </c>
      <c r="AQ70" s="39">
        <v>-661611</v>
      </c>
      <c r="AR70" s="39">
        <f>-AR29</f>
        <v>-661611</v>
      </c>
      <c r="AS70" s="38">
        <v>702900</v>
      </c>
      <c r="AT70" s="38">
        <v>246979</v>
      </c>
      <c r="AU70" s="38">
        <v>-368016</v>
      </c>
      <c r="AV70" s="38">
        <v>367109</v>
      </c>
      <c r="AW70" s="39">
        <v>948972</v>
      </c>
      <c r="AX70" s="39">
        <f>-AX29</f>
        <v>948972</v>
      </c>
      <c r="AY70" s="38">
        <v>-83077</v>
      </c>
      <c r="AZ70" s="38">
        <v>-108798</v>
      </c>
      <c r="BA70" s="38">
        <v>117282</v>
      </c>
      <c r="BB70" s="38">
        <v>-112988</v>
      </c>
      <c r="BC70" s="39">
        <v>-187581</v>
      </c>
      <c r="BD70" s="39">
        <f>-BD29</f>
        <v>-279664</v>
      </c>
      <c r="BE70" s="38">
        <v>1829141</v>
      </c>
      <c r="BF70" s="38">
        <v>-287789</v>
      </c>
      <c r="BG70" s="38">
        <v>-339566</v>
      </c>
      <c r="BH70" s="38">
        <v>-731510</v>
      </c>
      <c r="BI70" s="39">
        <v>470276</v>
      </c>
      <c r="BJ70" s="39">
        <f t="shared" si="115"/>
        <v>470276</v>
      </c>
      <c r="BK70" s="38">
        <f t="shared" si="115"/>
        <v>43934</v>
      </c>
      <c r="BL70" s="38">
        <f t="shared" si="115"/>
        <v>-202879</v>
      </c>
      <c r="BM70" s="38">
        <v>372097</v>
      </c>
      <c r="BN70" s="38">
        <f>-BN29</f>
        <v>-566722</v>
      </c>
      <c r="BO70" s="39">
        <v>470276</v>
      </c>
      <c r="BP70" s="39">
        <f t="shared" si="116"/>
        <v>-353570</v>
      </c>
      <c r="BQ70" s="38">
        <f t="shared" si="116"/>
        <v>43565</v>
      </c>
      <c r="BR70" s="38">
        <f t="shared" si="116"/>
        <v>99798</v>
      </c>
      <c r="BS70" s="38">
        <f t="shared" si="116"/>
        <v>-106203</v>
      </c>
      <c r="BT70" s="38">
        <f>-BT29</f>
        <v>62826</v>
      </c>
      <c r="BU70" s="39">
        <f t="shared" si="101"/>
        <v>99986</v>
      </c>
      <c r="BV70" s="39">
        <f>-BV29</f>
        <v>99986</v>
      </c>
      <c r="BW70" s="180">
        <f t="shared" si="117"/>
        <v>-108058</v>
      </c>
      <c r="BX70" s="180">
        <f t="shared" ref="BX70:BY70" si="126">-BX29</f>
        <v>71810</v>
      </c>
      <c r="BY70" s="180">
        <f t="shared" si="126"/>
        <v>-154803</v>
      </c>
      <c r="BZ70" s="180">
        <f t="shared" ref="BZ70" si="127">-BZ29</f>
        <v>78152</v>
      </c>
      <c r="CA70" s="179">
        <f t="shared" si="120"/>
        <v>-112899</v>
      </c>
      <c r="CB70" s="179">
        <f t="shared" si="103"/>
        <v>-112899</v>
      </c>
      <c r="CC70" s="180">
        <f t="shared" si="121"/>
        <v>-78680</v>
      </c>
      <c r="CD70" s="180">
        <f t="shared" si="121"/>
        <v>98924</v>
      </c>
      <c r="CE70" s="180">
        <f t="shared" si="121"/>
        <v>9192</v>
      </c>
      <c r="CF70" s="180">
        <f t="shared" si="121"/>
        <v>98622</v>
      </c>
      <c r="CG70" s="179">
        <f t="shared" si="122"/>
        <v>128058</v>
      </c>
      <c r="CH70" s="179">
        <f t="shared" si="112"/>
        <v>128058</v>
      </c>
      <c r="CI70" s="180">
        <f t="shared" ref="CI70" si="128">-CI29</f>
        <v>-95124</v>
      </c>
      <c r="CJ70" s="180">
        <f t="shared" ref="CJ70:CL70" si="129">-CJ29</f>
        <v>40418</v>
      </c>
      <c r="CK70" s="180">
        <f t="shared" si="129"/>
        <v>-41169</v>
      </c>
      <c r="CL70" s="180">
        <f t="shared" si="129"/>
        <v>281055</v>
      </c>
      <c r="CM70" s="179">
        <f t="shared" si="125"/>
        <v>185180</v>
      </c>
    </row>
    <row r="71" spans="2:91" ht="12" x14ac:dyDescent="0.3">
      <c r="B71" s="183" t="s">
        <v>388</v>
      </c>
      <c r="C71" s="63"/>
      <c r="D71" s="38"/>
      <c r="E71" s="38"/>
      <c r="F71" s="38"/>
      <c r="G71" s="38"/>
      <c r="H71" s="38"/>
      <c r="I71" s="38"/>
      <c r="J71" s="38"/>
      <c r="K71" s="38"/>
      <c r="L71" s="38"/>
      <c r="M71" s="38"/>
      <c r="N71" s="38"/>
      <c r="O71" s="38"/>
      <c r="P71" s="38"/>
      <c r="Q71" s="38"/>
      <c r="R71" s="38"/>
      <c r="S71" s="38"/>
      <c r="T71" s="38"/>
      <c r="U71" s="38"/>
      <c r="V71" s="38"/>
      <c r="W71" s="38"/>
      <c r="X71" s="38"/>
      <c r="Y71" s="38"/>
      <c r="Z71" s="38"/>
      <c r="AA71" s="38"/>
      <c r="AB71" s="38"/>
      <c r="AC71" s="38"/>
      <c r="AD71" s="38"/>
      <c r="AE71" s="39"/>
      <c r="AF71" s="39"/>
      <c r="AG71" s="38"/>
      <c r="AH71" s="38"/>
      <c r="AI71" s="38"/>
      <c r="AJ71" s="38"/>
      <c r="AK71" s="39"/>
      <c r="AL71" s="39"/>
      <c r="AM71" s="38"/>
      <c r="AN71" s="38"/>
      <c r="AO71" s="38"/>
      <c r="AP71" s="38"/>
      <c r="AQ71" s="39"/>
      <c r="AR71" s="39"/>
      <c r="AS71" s="38"/>
      <c r="AT71" s="38"/>
      <c r="AU71" s="38"/>
      <c r="AV71" s="38"/>
      <c r="AW71" s="39"/>
      <c r="AX71" s="39"/>
      <c r="AY71" s="38"/>
      <c r="AZ71" s="38"/>
      <c r="BA71" s="38"/>
      <c r="BB71" s="38"/>
      <c r="BC71" s="39"/>
      <c r="BD71" s="39"/>
      <c r="BE71" s="38"/>
      <c r="BF71" s="38"/>
      <c r="BG71" s="38"/>
      <c r="BH71" s="38"/>
      <c r="BI71" s="39"/>
      <c r="BJ71" s="39"/>
      <c r="BK71" s="38"/>
      <c r="BL71" s="38"/>
      <c r="BM71" s="38"/>
      <c r="BN71" s="38"/>
      <c r="BO71" s="39"/>
      <c r="BP71" s="39"/>
      <c r="BQ71" s="38"/>
      <c r="BR71" s="38"/>
      <c r="BS71" s="38"/>
      <c r="BT71" s="38"/>
      <c r="BU71" s="39"/>
      <c r="BV71" s="39"/>
      <c r="BW71" s="180"/>
      <c r="BX71" s="180"/>
      <c r="BY71" s="180">
        <f>-BY24</f>
        <v>168927</v>
      </c>
      <c r="BZ71" s="180">
        <f>-BZ24</f>
        <v>0</v>
      </c>
      <c r="CA71" s="179">
        <f t="shared" si="120"/>
        <v>168927</v>
      </c>
      <c r="CB71" s="179">
        <f t="shared" si="103"/>
        <v>168927</v>
      </c>
      <c r="CC71" s="180">
        <f>-CC24</f>
        <v>0</v>
      </c>
      <c r="CD71" s="180">
        <f>-CD24</f>
        <v>0</v>
      </c>
      <c r="CE71" s="180">
        <f>-CE24</f>
        <v>0</v>
      </c>
      <c r="CF71" s="180">
        <f>-CF24</f>
        <v>0</v>
      </c>
      <c r="CG71" s="179">
        <f t="shared" si="122"/>
        <v>0</v>
      </c>
      <c r="CH71" s="179">
        <f t="shared" si="112"/>
        <v>0</v>
      </c>
      <c r="CI71" s="180">
        <f>-CI24</f>
        <v>0</v>
      </c>
      <c r="CJ71" s="180">
        <f>-CJ24</f>
        <v>0</v>
      </c>
      <c r="CK71" s="180">
        <f>-CK24</f>
        <v>0</v>
      </c>
      <c r="CL71" s="180">
        <f>-CL24</f>
        <v>0</v>
      </c>
      <c r="CM71" s="179">
        <f t="shared" si="125"/>
        <v>0</v>
      </c>
    </row>
    <row r="72" spans="2:91" ht="12" x14ac:dyDescent="0.3">
      <c r="B72" s="109" t="s">
        <v>96</v>
      </c>
      <c r="C72" s="63">
        <v>0</v>
      </c>
      <c r="D72" s="38">
        <v>0</v>
      </c>
      <c r="E72" s="38">
        <v>0</v>
      </c>
      <c r="F72" s="38">
        <v>0</v>
      </c>
      <c r="G72" s="38">
        <v>0</v>
      </c>
      <c r="H72" s="38">
        <f>-H31</f>
        <v>0</v>
      </c>
      <c r="I72" s="38">
        <v>0</v>
      </c>
      <c r="J72" s="38">
        <v>0</v>
      </c>
      <c r="K72" s="38">
        <v>0</v>
      </c>
      <c r="L72" s="38">
        <v>0</v>
      </c>
      <c r="M72" s="38">
        <v>0</v>
      </c>
      <c r="N72" s="38">
        <f>-N31</f>
        <v>0</v>
      </c>
      <c r="O72" s="38">
        <v>0</v>
      </c>
      <c r="P72" s="38">
        <v>0</v>
      </c>
      <c r="Q72" s="38">
        <v>0</v>
      </c>
      <c r="R72" s="38">
        <v>0</v>
      </c>
      <c r="S72" s="38">
        <v>0</v>
      </c>
      <c r="T72" s="38">
        <f>-T31</f>
        <v>0</v>
      </c>
      <c r="U72" s="38">
        <v>48746</v>
      </c>
      <c r="V72" s="38">
        <v>48746</v>
      </c>
      <c r="W72" s="38">
        <v>48746</v>
      </c>
      <c r="X72" s="38">
        <v>48746</v>
      </c>
      <c r="Y72" s="38">
        <v>194984</v>
      </c>
      <c r="Z72" s="38">
        <f>-Z31</f>
        <v>194984</v>
      </c>
      <c r="AA72" s="38">
        <v>48746</v>
      </c>
      <c r="AB72" s="38">
        <v>48746</v>
      </c>
      <c r="AC72" s="38">
        <v>48746</v>
      </c>
      <c r="AD72" s="38">
        <v>48746</v>
      </c>
      <c r="AE72" s="39">
        <v>194984</v>
      </c>
      <c r="AF72" s="39">
        <f>-AF31</f>
        <v>194984</v>
      </c>
      <c r="AG72" s="38">
        <v>48746</v>
      </c>
      <c r="AH72" s="38">
        <v>48746</v>
      </c>
      <c r="AI72" s="38">
        <v>48746</v>
      </c>
      <c r="AJ72" s="38">
        <v>48746</v>
      </c>
      <c r="AK72" s="39">
        <v>194984</v>
      </c>
      <c r="AL72" s="39">
        <f>-AL31</f>
        <v>194984</v>
      </c>
      <c r="AM72" s="38">
        <v>48746</v>
      </c>
      <c r="AN72" s="38">
        <v>48746</v>
      </c>
      <c r="AO72" s="38">
        <v>48746</v>
      </c>
      <c r="AP72" s="38">
        <v>48746</v>
      </c>
      <c r="AQ72" s="39">
        <v>194984</v>
      </c>
      <c r="AR72" s="39">
        <f>-AR31</f>
        <v>194984</v>
      </c>
      <c r="AS72" s="38">
        <v>48745.922579999999</v>
      </c>
      <c r="AT72" s="38">
        <v>48745.922579999999</v>
      </c>
      <c r="AU72" s="38">
        <v>48745.922579999999</v>
      </c>
      <c r="AV72" s="38">
        <v>25546</v>
      </c>
      <c r="AW72" s="39">
        <v>171783.76773999998</v>
      </c>
      <c r="AX72" s="39">
        <f>-AX31</f>
        <v>171783.76773999998</v>
      </c>
      <c r="AY72" s="38">
        <v>25546</v>
      </c>
      <c r="AZ72" s="38">
        <v>25546</v>
      </c>
      <c r="BA72" s="38">
        <v>25544</v>
      </c>
      <c r="BB72" s="38">
        <v>25548</v>
      </c>
      <c r="BC72" s="39">
        <v>102184</v>
      </c>
      <c r="BD72" s="39">
        <f>-BD31</f>
        <v>108184</v>
      </c>
      <c r="BE72" s="38">
        <v>25546</v>
      </c>
      <c r="BF72" s="38">
        <v>25546</v>
      </c>
      <c r="BG72" s="38">
        <v>25546</v>
      </c>
      <c r="BH72" s="38">
        <v>25546</v>
      </c>
      <c r="BI72" s="39">
        <v>102184</v>
      </c>
      <c r="BJ72" s="39">
        <f t="shared" ref="BJ72:BL73" si="130">-BJ31</f>
        <v>102184</v>
      </c>
      <c r="BK72" s="38">
        <f t="shared" si="130"/>
        <v>25546</v>
      </c>
      <c r="BL72" s="38">
        <f t="shared" si="130"/>
        <v>25546</v>
      </c>
      <c r="BM72" s="38">
        <v>25546</v>
      </c>
      <c r="BN72" s="38">
        <f>-BN31</f>
        <v>25546</v>
      </c>
      <c r="BO72" s="39">
        <v>102184</v>
      </c>
      <c r="BP72" s="39">
        <f t="shared" ref="BP72:BT73" si="131">-BP31</f>
        <v>102184</v>
      </c>
      <c r="BQ72" s="38">
        <f t="shared" si="131"/>
        <v>25546</v>
      </c>
      <c r="BR72" s="38">
        <f t="shared" si="131"/>
        <v>25546</v>
      </c>
      <c r="BS72" s="38">
        <f t="shared" si="131"/>
        <v>25546</v>
      </c>
      <c r="BT72" s="38">
        <f t="shared" si="131"/>
        <v>25546</v>
      </c>
      <c r="BU72" s="39">
        <f t="shared" si="101"/>
        <v>102184</v>
      </c>
      <c r="BV72" s="39">
        <f>-BV31</f>
        <v>102184</v>
      </c>
      <c r="BW72" s="180">
        <f>-BW31</f>
        <v>25546</v>
      </c>
      <c r="BX72" s="180">
        <f t="shared" ref="BX72:BY72" si="132">-BX31</f>
        <v>25546</v>
      </c>
      <c r="BY72" s="180">
        <f t="shared" si="132"/>
        <v>25546</v>
      </c>
      <c r="BZ72" s="180">
        <f t="shared" ref="BZ72" si="133">-BZ31</f>
        <v>25546</v>
      </c>
      <c r="CA72" s="179">
        <f t="shared" si="120"/>
        <v>102184</v>
      </c>
      <c r="CB72" s="179">
        <f t="shared" si="103"/>
        <v>102184</v>
      </c>
      <c r="CC72" s="180">
        <f t="shared" ref="CC72:CF73" si="134">-CC31</f>
        <v>25546</v>
      </c>
      <c r="CD72" s="180">
        <f t="shared" si="134"/>
        <v>25546</v>
      </c>
      <c r="CE72" s="180">
        <f t="shared" si="134"/>
        <v>25546</v>
      </c>
      <c r="CF72" s="180">
        <f t="shared" si="134"/>
        <v>25546</v>
      </c>
      <c r="CG72" s="179">
        <f t="shared" si="122"/>
        <v>102184</v>
      </c>
      <c r="CH72" s="179">
        <f t="shared" si="112"/>
        <v>102184</v>
      </c>
      <c r="CI72" s="180">
        <f t="shared" ref="CI72" si="135">-CI31</f>
        <v>25546</v>
      </c>
      <c r="CJ72" s="180">
        <f t="shared" ref="CJ72:CL72" si="136">-CJ31</f>
        <v>25546</v>
      </c>
      <c r="CK72" s="180">
        <f t="shared" si="136"/>
        <v>25546</v>
      </c>
      <c r="CL72" s="180">
        <f t="shared" si="136"/>
        <v>25546</v>
      </c>
      <c r="CM72" s="179">
        <f t="shared" si="125"/>
        <v>102184</v>
      </c>
    </row>
    <row r="73" spans="2:91" ht="12" x14ac:dyDescent="0.3">
      <c r="B73" s="109" t="s">
        <v>97</v>
      </c>
      <c r="C73" s="63">
        <v>0</v>
      </c>
      <c r="D73" s="38">
        <v>0</v>
      </c>
      <c r="E73" s="38">
        <v>0</v>
      </c>
      <c r="F73" s="38">
        <v>0</v>
      </c>
      <c r="G73" s="38">
        <v>0</v>
      </c>
      <c r="H73" s="38">
        <f>-H32</f>
        <v>0</v>
      </c>
      <c r="I73" s="38">
        <v>0</v>
      </c>
      <c r="J73" s="38">
        <v>0</v>
      </c>
      <c r="K73" s="38">
        <v>0</v>
      </c>
      <c r="L73" s="38">
        <v>0</v>
      </c>
      <c r="M73" s="38">
        <v>0</v>
      </c>
      <c r="N73" s="38">
        <f>-N32</f>
        <v>0</v>
      </c>
      <c r="O73" s="38">
        <v>0</v>
      </c>
      <c r="P73" s="38">
        <v>0</v>
      </c>
      <c r="Q73" s="38">
        <v>0</v>
      </c>
      <c r="R73" s="38">
        <v>0</v>
      </c>
      <c r="S73" s="38">
        <v>0</v>
      </c>
      <c r="T73" s="38">
        <f>-T32</f>
        <v>0</v>
      </c>
      <c r="U73" s="38">
        <v>55649</v>
      </c>
      <c r="V73" s="38">
        <v>86845</v>
      </c>
      <c r="W73" s="38">
        <v>11209</v>
      </c>
      <c r="X73" s="38">
        <v>12842</v>
      </c>
      <c r="Y73" s="38">
        <v>166545</v>
      </c>
      <c r="Z73" s="38">
        <f>-Z32</f>
        <v>166545</v>
      </c>
      <c r="AA73" s="38">
        <v>14391</v>
      </c>
      <c r="AB73" s="38">
        <v>15725</v>
      </c>
      <c r="AC73" s="38">
        <v>19682</v>
      </c>
      <c r="AD73" s="38">
        <v>32069</v>
      </c>
      <c r="AE73" s="39">
        <v>81867</v>
      </c>
      <c r="AF73" s="39">
        <f>-AF32</f>
        <v>81867</v>
      </c>
      <c r="AG73" s="38">
        <v>20648</v>
      </c>
      <c r="AH73" s="38">
        <v>39357</v>
      </c>
      <c r="AI73" s="38">
        <v>38241</v>
      </c>
      <c r="AJ73" s="38">
        <v>35333</v>
      </c>
      <c r="AK73" s="39">
        <v>133579</v>
      </c>
      <c r="AL73" s="39">
        <f>-AL32</f>
        <v>133579</v>
      </c>
      <c r="AM73" s="38">
        <v>32458</v>
      </c>
      <c r="AN73" s="38">
        <v>32517</v>
      </c>
      <c r="AO73" s="38">
        <v>40491</v>
      </c>
      <c r="AP73" s="38">
        <v>81558</v>
      </c>
      <c r="AQ73" s="39">
        <v>187024</v>
      </c>
      <c r="AR73" s="39">
        <f>-AR32</f>
        <v>187024</v>
      </c>
      <c r="AS73" s="38">
        <v>37660.383740000005</v>
      </c>
      <c r="AT73" s="38">
        <v>26471</v>
      </c>
      <c r="AU73" s="38">
        <v>165826</v>
      </c>
      <c r="AV73" s="38">
        <v>37623</v>
      </c>
      <c r="AW73" s="39">
        <v>267580.38374000002</v>
      </c>
      <c r="AX73" s="39">
        <f>-AX32</f>
        <v>267580.38374000002</v>
      </c>
      <c r="AY73" s="38">
        <v>41591</v>
      </c>
      <c r="AZ73" s="38">
        <v>58814</v>
      </c>
      <c r="BA73" s="38">
        <v>43623</v>
      </c>
      <c r="BB73" s="38">
        <v>51313</v>
      </c>
      <c r="BC73" s="39">
        <v>195341</v>
      </c>
      <c r="BD73" s="39">
        <f>-BD32</f>
        <v>195341</v>
      </c>
      <c r="BE73" s="38">
        <v>83017</v>
      </c>
      <c r="BF73" s="38">
        <v>29189</v>
      </c>
      <c r="BG73" s="38">
        <v>36712</v>
      </c>
      <c r="BH73" s="38">
        <v>80152</v>
      </c>
      <c r="BI73" s="39">
        <v>229070</v>
      </c>
      <c r="BJ73" s="39">
        <f t="shared" si="130"/>
        <v>229070</v>
      </c>
      <c r="BK73" s="38">
        <f t="shared" si="130"/>
        <v>50846</v>
      </c>
      <c r="BL73" s="38">
        <f t="shared" si="130"/>
        <v>51940</v>
      </c>
      <c r="BM73" s="38">
        <v>56793</v>
      </c>
      <c r="BN73" s="38">
        <f>-BN32</f>
        <v>60279</v>
      </c>
      <c r="BO73" s="39">
        <v>229070</v>
      </c>
      <c r="BP73" s="39">
        <f t="shared" si="131"/>
        <v>219858</v>
      </c>
      <c r="BQ73" s="38">
        <f t="shared" si="131"/>
        <v>59218</v>
      </c>
      <c r="BR73" s="38">
        <f t="shared" si="131"/>
        <v>60627</v>
      </c>
      <c r="BS73" s="38">
        <f t="shared" si="131"/>
        <v>59866</v>
      </c>
      <c r="BT73" s="38">
        <f t="shared" si="131"/>
        <v>58979</v>
      </c>
      <c r="BU73" s="39">
        <f t="shared" si="101"/>
        <v>238690</v>
      </c>
      <c r="BV73" s="39">
        <f>-BV32</f>
        <v>238690</v>
      </c>
      <c r="BW73" s="180">
        <f>-BW32</f>
        <v>60974</v>
      </c>
      <c r="BX73" s="180">
        <f t="shared" ref="BX73:BY73" si="137">-BX32</f>
        <v>60807</v>
      </c>
      <c r="BY73" s="180">
        <f t="shared" si="137"/>
        <v>64278</v>
      </c>
      <c r="BZ73" s="180">
        <f t="shared" ref="BZ73" si="138">-BZ32</f>
        <v>61864</v>
      </c>
      <c r="CA73" s="179">
        <f t="shared" si="120"/>
        <v>247923</v>
      </c>
      <c r="CB73" s="179">
        <f t="shared" si="103"/>
        <v>247923</v>
      </c>
      <c r="CC73" s="180">
        <f t="shared" si="134"/>
        <v>61771</v>
      </c>
      <c r="CD73" s="180">
        <f t="shared" si="134"/>
        <v>61428</v>
      </c>
      <c r="CE73" s="180">
        <f t="shared" si="134"/>
        <v>60202</v>
      </c>
      <c r="CF73" s="180">
        <f t="shared" si="134"/>
        <v>18466</v>
      </c>
      <c r="CG73" s="179">
        <f t="shared" si="122"/>
        <v>201867</v>
      </c>
      <c r="CH73" s="179">
        <f t="shared" si="112"/>
        <v>201867</v>
      </c>
      <c r="CI73" s="180">
        <f t="shared" ref="CI73" si="139">-CI32</f>
        <v>132760</v>
      </c>
      <c r="CJ73" s="180">
        <f t="shared" ref="CJ73:CL73" si="140">-CJ32</f>
        <v>55002</v>
      </c>
      <c r="CK73" s="180">
        <f t="shared" si="140"/>
        <v>62815</v>
      </c>
      <c r="CL73" s="180">
        <f t="shared" si="140"/>
        <v>120690</v>
      </c>
      <c r="CM73" s="179">
        <f t="shared" si="125"/>
        <v>371267</v>
      </c>
    </row>
    <row r="74" spans="2:91" ht="12" x14ac:dyDescent="0.3">
      <c r="B74" s="109" t="s">
        <v>98</v>
      </c>
      <c r="C74" s="63"/>
      <c r="D74" s="38"/>
      <c r="E74" s="38"/>
      <c r="F74" s="38"/>
      <c r="G74" s="38"/>
      <c r="H74" s="38">
        <f>-H33</f>
        <v>0</v>
      </c>
      <c r="I74" s="38"/>
      <c r="J74" s="38"/>
      <c r="K74" s="38"/>
      <c r="L74" s="38"/>
      <c r="M74" s="38"/>
      <c r="N74" s="38">
        <f>-N33</f>
        <v>0</v>
      </c>
      <c r="O74" s="38"/>
      <c r="P74" s="38"/>
      <c r="Q74" s="38"/>
      <c r="R74" s="38"/>
      <c r="S74" s="38"/>
      <c r="T74" s="38">
        <f>-T33</f>
        <v>0</v>
      </c>
      <c r="U74" s="38"/>
      <c r="V74" s="38"/>
      <c r="W74" s="38"/>
      <c r="X74" s="38"/>
      <c r="Y74" s="38"/>
      <c r="Z74" s="38">
        <f>-Z33</f>
        <v>0</v>
      </c>
      <c r="AA74" s="38"/>
      <c r="AB74" s="38"/>
      <c r="AC74" s="38"/>
      <c r="AD74" s="38"/>
      <c r="AE74" s="39"/>
      <c r="AF74" s="39">
        <f>-AF33</f>
        <v>0</v>
      </c>
      <c r="AG74" s="38"/>
      <c r="AH74" s="38"/>
      <c r="AI74" s="38"/>
      <c r="AJ74" s="38"/>
      <c r="AK74" s="39"/>
      <c r="AL74" s="39">
        <f>-AL33</f>
        <v>-2152191</v>
      </c>
      <c r="AM74" s="38"/>
      <c r="AN74" s="38"/>
      <c r="AO74" s="38"/>
      <c r="AP74" s="38"/>
      <c r="AQ74" s="39"/>
      <c r="AR74" s="39">
        <f>-AR33</f>
        <v>355954</v>
      </c>
      <c r="AS74" s="38">
        <v>154382</v>
      </c>
      <c r="AT74" s="38">
        <v>0</v>
      </c>
      <c r="AU74" s="38">
        <v>0</v>
      </c>
      <c r="AV74" s="38">
        <v>287513</v>
      </c>
      <c r="AW74" s="39">
        <v>441895</v>
      </c>
      <c r="AX74" s="39">
        <f>-AX33</f>
        <v>441895</v>
      </c>
      <c r="AY74" s="38">
        <v>257514</v>
      </c>
      <c r="AZ74" s="38">
        <v>0</v>
      </c>
      <c r="BA74" s="38">
        <v>0</v>
      </c>
      <c r="BB74" s="38">
        <v>0</v>
      </c>
      <c r="BC74" s="39">
        <v>257514</v>
      </c>
      <c r="BD74" s="39">
        <f>-BD33</f>
        <v>0</v>
      </c>
      <c r="BE74" s="38">
        <v>0</v>
      </c>
      <c r="BF74" s="38">
        <v>0</v>
      </c>
      <c r="BG74" s="38">
        <v>65848</v>
      </c>
      <c r="BH74" s="38">
        <v>27729</v>
      </c>
      <c r="BI74" s="39">
        <v>93577</v>
      </c>
      <c r="BJ74" s="39">
        <f>-BJ33</f>
        <v>0</v>
      </c>
      <c r="BK74" s="38"/>
      <c r="BL74" s="38"/>
      <c r="BM74" s="38"/>
      <c r="BN74" s="38"/>
      <c r="BO74" s="39">
        <v>93577</v>
      </c>
      <c r="BP74" s="39">
        <f>-BP33</f>
        <v>0</v>
      </c>
      <c r="BQ74" s="38">
        <v>0</v>
      </c>
      <c r="BR74" s="38">
        <v>0</v>
      </c>
      <c r="BS74" s="38">
        <v>0</v>
      </c>
      <c r="BT74" s="38">
        <v>0</v>
      </c>
      <c r="BU74" s="39">
        <f t="shared" si="101"/>
        <v>0</v>
      </c>
      <c r="BV74" s="39">
        <f>-BV33</f>
        <v>0</v>
      </c>
      <c r="BW74" s="180">
        <v>0</v>
      </c>
      <c r="BX74" s="180">
        <v>0</v>
      </c>
      <c r="BY74" s="180">
        <v>0</v>
      </c>
      <c r="BZ74" s="180">
        <v>0</v>
      </c>
      <c r="CA74" s="179">
        <f t="shared" si="120"/>
        <v>0</v>
      </c>
      <c r="CB74" s="179">
        <f t="shared" si="103"/>
        <v>0</v>
      </c>
      <c r="CC74" s="180">
        <v>0</v>
      </c>
      <c r="CD74" s="180">
        <v>0</v>
      </c>
      <c r="CE74" s="180">
        <v>0</v>
      </c>
      <c r="CF74" s="180">
        <v>0</v>
      </c>
      <c r="CG74" s="179">
        <f t="shared" si="122"/>
        <v>0</v>
      </c>
      <c r="CH74" s="179">
        <f t="shared" si="112"/>
        <v>0</v>
      </c>
      <c r="CI74" s="180">
        <v>0</v>
      </c>
      <c r="CJ74" s="180">
        <v>0</v>
      </c>
      <c r="CK74" s="180">
        <v>0</v>
      </c>
      <c r="CL74" s="180">
        <v>0</v>
      </c>
      <c r="CM74" s="179">
        <f t="shared" si="125"/>
        <v>0</v>
      </c>
    </row>
    <row r="75" spans="2:91" ht="12" x14ac:dyDescent="0.3">
      <c r="B75" s="109" t="s">
        <v>99</v>
      </c>
      <c r="C75" s="63">
        <v>0</v>
      </c>
      <c r="D75" s="38">
        <v>0</v>
      </c>
      <c r="E75" s="38">
        <v>0</v>
      </c>
      <c r="F75" s="38">
        <v>0</v>
      </c>
      <c r="G75" s="38">
        <v>0</v>
      </c>
      <c r="H75" s="38">
        <f>-H34</f>
        <v>0</v>
      </c>
      <c r="I75" s="38">
        <v>0</v>
      </c>
      <c r="J75" s="38">
        <v>0</v>
      </c>
      <c r="K75" s="38">
        <v>0</v>
      </c>
      <c r="L75" s="38">
        <v>0</v>
      </c>
      <c r="M75" s="38">
        <v>0</v>
      </c>
      <c r="N75" s="38">
        <f>-N34</f>
        <v>0</v>
      </c>
      <c r="O75" s="38">
        <v>0</v>
      </c>
      <c r="P75" s="38">
        <v>0</v>
      </c>
      <c r="Q75" s="38">
        <v>0</v>
      </c>
      <c r="R75" s="38">
        <v>0</v>
      </c>
      <c r="S75" s="38">
        <v>0</v>
      </c>
      <c r="T75" s="38">
        <f>-T34</f>
        <v>0</v>
      </c>
      <c r="U75" s="38">
        <v>0</v>
      </c>
      <c r="V75" s="38">
        <v>368839</v>
      </c>
      <c r="W75" s="38">
        <v>51877</v>
      </c>
      <c r="X75" s="38">
        <v>109564</v>
      </c>
      <c r="Y75" s="38">
        <v>530280</v>
      </c>
      <c r="Z75" s="38">
        <f>-Z34</f>
        <v>530280</v>
      </c>
      <c r="AA75" s="38">
        <v>164621</v>
      </c>
      <c r="AB75" s="38">
        <v>27497</v>
      </c>
      <c r="AC75" s="38">
        <v>77522</v>
      </c>
      <c r="AD75" s="38">
        <v>318152</v>
      </c>
      <c r="AE75" s="39">
        <v>587792</v>
      </c>
      <c r="AF75" s="39">
        <f>-AF34</f>
        <v>587792</v>
      </c>
      <c r="AG75" s="38">
        <v>124338</v>
      </c>
      <c r="AH75" s="38">
        <v>116288</v>
      </c>
      <c r="AI75" s="38">
        <v>88362</v>
      </c>
      <c r="AJ75" s="38">
        <v>-158991</v>
      </c>
      <c r="AK75" s="39">
        <v>169997</v>
      </c>
      <c r="AL75" s="39">
        <f>-AL34</f>
        <v>169997</v>
      </c>
      <c r="AM75" s="38">
        <v>50000</v>
      </c>
      <c r="AN75" s="38">
        <v>39693</v>
      </c>
      <c r="AO75" s="38">
        <v>26462</v>
      </c>
      <c r="AP75" s="38">
        <v>-21187</v>
      </c>
      <c r="AQ75" s="39">
        <v>94968</v>
      </c>
      <c r="AR75" s="39">
        <f>-AR34</f>
        <v>94968</v>
      </c>
      <c r="AS75" s="38">
        <v>23742</v>
      </c>
      <c r="AT75" s="38">
        <v>124093</v>
      </c>
      <c r="AU75" s="38">
        <v>155065</v>
      </c>
      <c r="AV75" s="38">
        <v>260588</v>
      </c>
      <c r="AW75" s="39">
        <v>563488</v>
      </c>
      <c r="AX75" s="39">
        <f>-AX34</f>
        <v>563488</v>
      </c>
      <c r="AY75" s="38">
        <v>107900</v>
      </c>
      <c r="AZ75" s="38">
        <v>107426</v>
      </c>
      <c r="BA75" s="38">
        <v>244759</v>
      </c>
      <c r="BB75" s="38">
        <v>142014.30547999998</v>
      </c>
      <c r="BC75" s="39">
        <v>602099.30547999998</v>
      </c>
      <c r="BD75" s="39">
        <f>-BD34</f>
        <v>602099</v>
      </c>
      <c r="BE75" s="38">
        <v>62000</v>
      </c>
      <c r="BF75" s="38">
        <v>-32376</v>
      </c>
      <c r="BG75" s="38">
        <v>13052</v>
      </c>
      <c r="BH75" s="38">
        <v>30652</v>
      </c>
      <c r="BI75" s="39">
        <v>73328</v>
      </c>
      <c r="BJ75" s="39">
        <f>-BJ34</f>
        <v>73328</v>
      </c>
      <c r="BK75" s="38">
        <f>-BK34</f>
        <v>81750</v>
      </c>
      <c r="BL75" s="38">
        <f>-BL34</f>
        <v>69000</v>
      </c>
      <c r="BM75" s="38">
        <v>69000</v>
      </c>
      <c r="BN75" s="38">
        <f>-BN34</f>
        <v>138550</v>
      </c>
      <c r="BO75" s="39">
        <v>73328</v>
      </c>
      <c r="BP75" s="39">
        <f>-BP34</f>
        <v>358300</v>
      </c>
      <c r="BQ75" s="38">
        <f t="shared" ref="BQ75:BS75" si="141">-BQ34</f>
        <v>89575</v>
      </c>
      <c r="BR75" s="38">
        <f t="shared" si="141"/>
        <v>55625</v>
      </c>
      <c r="BS75" s="38">
        <f t="shared" si="141"/>
        <v>72599.999999999985</v>
      </c>
      <c r="BT75" s="38">
        <f>-BT34</f>
        <v>425400</v>
      </c>
      <c r="BU75" s="39">
        <f t="shared" si="101"/>
        <v>643200</v>
      </c>
      <c r="BV75" s="39">
        <f>-BV34</f>
        <v>643200</v>
      </c>
      <c r="BW75" s="180">
        <f t="shared" ref="BW75" si="142">-BW34</f>
        <v>103500</v>
      </c>
      <c r="BX75" s="180">
        <f t="shared" ref="BX75:BY75" si="143">-BX34</f>
        <v>103500</v>
      </c>
      <c r="BY75" s="180">
        <f t="shared" si="143"/>
        <v>34425</v>
      </c>
      <c r="BZ75" s="180">
        <f t="shared" ref="BZ75" si="144">-BZ34</f>
        <v>80475</v>
      </c>
      <c r="CA75" s="179">
        <f t="shared" si="120"/>
        <v>321900</v>
      </c>
      <c r="CB75" s="179">
        <f t="shared" si="103"/>
        <v>321900</v>
      </c>
      <c r="CC75" s="180">
        <f>-CC34</f>
        <v>0</v>
      </c>
      <c r="CD75" s="180">
        <f>-CD34</f>
        <v>128382</v>
      </c>
      <c r="CE75" s="180">
        <f>-CE34</f>
        <v>64191</v>
      </c>
      <c r="CF75" s="180">
        <f>-CF34</f>
        <v>-82131</v>
      </c>
      <c r="CG75" s="179">
        <f t="shared" si="122"/>
        <v>110442</v>
      </c>
      <c r="CH75" s="179">
        <f t="shared" si="112"/>
        <v>110442</v>
      </c>
      <c r="CI75" s="180">
        <f>-CI34</f>
        <v>27610</v>
      </c>
      <c r="CJ75" s="180">
        <f>-CJ34</f>
        <v>27611</v>
      </c>
      <c r="CK75" s="180">
        <f>-CK34</f>
        <v>27610</v>
      </c>
      <c r="CL75" s="180">
        <f>-CL34</f>
        <v>677584</v>
      </c>
      <c r="CM75" s="179">
        <f t="shared" si="125"/>
        <v>760415</v>
      </c>
    </row>
    <row r="76" spans="2:91" ht="12" x14ac:dyDescent="0.3">
      <c r="B76" s="109" t="s">
        <v>89</v>
      </c>
      <c r="C76" s="63">
        <v>0</v>
      </c>
      <c r="D76" s="38">
        <v>0</v>
      </c>
      <c r="E76" s="38">
        <v>0</v>
      </c>
      <c r="F76" s="38">
        <v>0</v>
      </c>
      <c r="G76" s="38">
        <v>0</v>
      </c>
      <c r="H76" s="38"/>
      <c r="I76" s="38">
        <v>0</v>
      </c>
      <c r="J76" s="38">
        <v>0</v>
      </c>
      <c r="K76" s="38">
        <v>0</v>
      </c>
      <c r="L76" s="38">
        <v>0</v>
      </c>
      <c r="M76" s="38">
        <v>0</v>
      </c>
      <c r="N76" s="38"/>
      <c r="O76" s="38">
        <v>0</v>
      </c>
      <c r="P76" s="38">
        <v>0</v>
      </c>
      <c r="Q76" s="38">
        <v>0</v>
      </c>
      <c r="R76" s="38">
        <v>1531362</v>
      </c>
      <c r="S76" s="38">
        <v>1531362</v>
      </c>
      <c r="T76" s="38"/>
      <c r="U76" s="38">
        <v>0</v>
      </c>
      <c r="V76" s="38">
        <v>-182261</v>
      </c>
      <c r="W76" s="38">
        <v>0</v>
      </c>
      <c r="X76" s="38">
        <v>0</v>
      </c>
      <c r="Y76" s="38">
        <v>-182261</v>
      </c>
      <c r="Z76" s="38"/>
      <c r="AA76" s="38">
        <v>0</v>
      </c>
      <c r="AB76" s="38">
        <v>0</v>
      </c>
      <c r="AC76" s="38">
        <v>0</v>
      </c>
      <c r="AD76" s="38">
        <v>0</v>
      </c>
      <c r="AE76" s="39">
        <v>0</v>
      </c>
      <c r="AF76" s="39"/>
      <c r="AG76" s="38">
        <v>0</v>
      </c>
      <c r="AH76" s="38">
        <v>0</v>
      </c>
      <c r="AI76" s="38">
        <v>0</v>
      </c>
      <c r="AJ76" s="38">
        <v>0</v>
      </c>
      <c r="AK76" s="39">
        <v>0</v>
      </c>
      <c r="AL76" s="39"/>
      <c r="AM76" s="38">
        <v>6304</v>
      </c>
      <c r="AN76" s="38">
        <v>0</v>
      </c>
      <c r="AO76" s="38">
        <v>0</v>
      </c>
      <c r="AP76" s="38">
        <v>0</v>
      </c>
      <c r="AQ76" s="39">
        <v>6304</v>
      </c>
      <c r="AR76" s="39"/>
      <c r="AS76" s="38">
        <v>-22896</v>
      </c>
      <c r="AT76" s="38">
        <v>-87212</v>
      </c>
      <c r="AU76" s="38">
        <v>-64068</v>
      </c>
      <c r="AV76" s="38">
        <v>-49115</v>
      </c>
      <c r="AW76" s="39">
        <v>-223291</v>
      </c>
      <c r="AX76" s="39"/>
      <c r="AY76" s="38">
        <v>103473</v>
      </c>
      <c r="AZ76" s="38">
        <v>72841</v>
      </c>
      <c r="BA76" s="38">
        <v>-10575</v>
      </c>
      <c r="BB76" s="38">
        <v>58229</v>
      </c>
      <c r="BC76" s="39">
        <v>223968</v>
      </c>
      <c r="BD76" s="39"/>
      <c r="BE76" s="38">
        <v>-8352</v>
      </c>
      <c r="BF76" s="38">
        <v>0</v>
      </c>
      <c r="BG76" s="38">
        <v>-199898</v>
      </c>
      <c r="BH76" s="38">
        <v>-289782</v>
      </c>
      <c r="BI76" s="39">
        <v>-498032</v>
      </c>
      <c r="BJ76" s="39"/>
      <c r="BK76" s="38">
        <f>-BK35-BK26</f>
        <v>-8881</v>
      </c>
      <c r="BL76" s="38">
        <f>-BL35-BL26</f>
        <v>-48286</v>
      </c>
      <c r="BM76" s="38">
        <v>10921</v>
      </c>
      <c r="BN76" s="38">
        <f>-BN35-BN26</f>
        <v>-38430</v>
      </c>
      <c r="BO76" s="39">
        <v>-498032</v>
      </c>
      <c r="BP76" s="39"/>
      <c r="BQ76" s="38">
        <f t="shared" ref="BQ76:BS76" si="145">-BQ35-BQ26-BQ27</f>
        <v>52944</v>
      </c>
      <c r="BR76" s="38">
        <f t="shared" si="145"/>
        <v>-79158</v>
      </c>
      <c r="BS76" s="38">
        <f t="shared" si="145"/>
        <v>-253804</v>
      </c>
      <c r="BT76" s="38">
        <f>-BT35-BT26</f>
        <v>-596377</v>
      </c>
      <c r="BU76" s="39">
        <f>SUM(BQ76:BT76)</f>
        <v>-876395</v>
      </c>
      <c r="BV76" s="38">
        <f>-BV35-BV26-BV27</f>
        <v>-876393</v>
      </c>
      <c r="BW76" s="180">
        <f>-BW35-BW26-BW27</f>
        <v>1361</v>
      </c>
      <c r="BX76" s="180">
        <f>-BX35-BX26-BX27</f>
        <v>176919</v>
      </c>
      <c r="BY76" s="180">
        <f>-BY35-BY26-BY27</f>
        <v>-202888</v>
      </c>
      <c r="BZ76" s="180">
        <f>-BZ35-BZ26-BZ27</f>
        <v>638</v>
      </c>
      <c r="CA76" s="179">
        <f>SUM(BW76:BZ76)</f>
        <v>-23970</v>
      </c>
      <c r="CB76" s="179">
        <f>SUM(BW76:BZ76)</f>
        <v>-23970</v>
      </c>
      <c r="CC76" s="180">
        <f>-CC35-CC26-CC27</f>
        <v>1872</v>
      </c>
      <c r="CD76" s="180">
        <f>-CD35-CD26-CD27</f>
        <v>-3073</v>
      </c>
      <c r="CE76" s="180">
        <f>-CE35-CE26-CE27</f>
        <v>7367</v>
      </c>
      <c r="CF76" s="180">
        <f>-CF35-CF26-CF27</f>
        <v>26690</v>
      </c>
      <c r="CG76" s="179">
        <f>SUM(CC76:CF76)</f>
        <v>32856</v>
      </c>
      <c r="CH76" s="179">
        <f t="shared" si="112"/>
        <v>32856</v>
      </c>
      <c r="CI76" s="180">
        <f>-CI35-CI26-CI27</f>
        <v>2736</v>
      </c>
      <c r="CJ76" s="180">
        <f>-CJ35-CJ26-CJ27</f>
        <v>31769</v>
      </c>
      <c r="CK76" s="180">
        <f>-CK35-CK26-CK27</f>
        <v>-44381</v>
      </c>
      <c r="CL76" s="180">
        <f>-CL35-CL26-CL27</f>
        <v>-9352</v>
      </c>
      <c r="CM76" s="179">
        <f>SUM(CI76:CL76)</f>
        <v>-19228</v>
      </c>
    </row>
    <row r="77" spans="2:91" ht="12" x14ac:dyDescent="0.3">
      <c r="B77" s="109" t="s">
        <v>100</v>
      </c>
      <c r="C77" s="63"/>
      <c r="D77" s="38"/>
      <c r="E77" s="38"/>
      <c r="F77" s="38"/>
      <c r="G77" s="38"/>
      <c r="H77" s="38">
        <f>-H48</f>
        <v>0</v>
      </c>
      <c r="I77" s="38"/>
      <c r="J77" s="38"/>
      <c r="K77" s="38"/>
      <c r="L77" s="38"/>
      <c r="M77" s="38"/>
      <c r="N77" s="38">
        <f>-N48</f>
        <v>0</v>
      </c>
      <c r="O77" s="38"/>
      <c r="P77" s="38"/>
      <c r="Q77" s="38"/>
      <c r="R77" s="38"/>
      <c r="S77" s="38"/>
      <c r="T77" s="38">
        <f>-T48</f>
        <v>0</v>
      </c>
      <c r="U77" s="38"/>
      <c r="V77" s="38"/>
      <c r="W77" s="38"/>
      <c r="X77" s="38"/>
      <c r="Y77" s="38"/>
      <c r="Z77" s="38">
        <f>-Z48</f>
        <v>0</v>
      </c>
      <c r="AA77" s="38"/>
      <c r="AB77" s="38"/>
      <c r="AC77" s="38"/>
      <c r="AD77" s="38"/>
      <c r="AE77" s="39"/>
      <c r="AF77" s="39">
        <f>-AF48</f>
        <v>0</v>
      </c>
      <c r="AG77" s="38">
        <v>-3951</v>
      </c>
      <c r="AH77" s="38">
        <v>-3951</v>
      </c>
      <c r="AI77" s="38">
        <v>-3596</v>
      </c>
      <c r="AJ77" s="38">
        <v>-2605</v>
      </c>
      <c r="AK77" s="39">
        <v>-14103</v>
      </c>
      <c r="AL77" s="39">
        <f>-AL48</f>
        <v>-569279.93050946994</v>
      </c>
      <c r="AM77" s="38">
        <v>-3967</v>
      </c>
      <c r="AN77" s="38">
        <v>-4582</v>
      </c>
      <c r="AO77" s="38">
        <v>-10004.792530000001</v>
      </c>
      <c r="AP77" s="38">
        <v>-10346.95809</v>
      </c>
      <c r="AQ77" s="39">
        <v>-28900.750619999999</v>
      </c>
      <c r="AR77" s="39">
        <f>-AR48</f>
        <v>-40239</v>
      </c>
      <c r="AS77" s="38">
        <v>-20940</v>
      </c>
      <c r="AT77" s="36">
        <v>-20047.11</v>
      </c>
      <c r="AU77" s="36">
        <v>-42787.000000000487</v>
      </c>
      <c r="AV77" s="36">
        <v>-36248</v>
      </c>
      <c r="AW77" s="39">
        <v>-120022.11000000048</v>
      </c>
      <c r="AX77" s="36">
        <f>-AX48</f>
        <v>-90475</v>
      </c>
      <c r="AY77" s="36">
        <v>-48789</v>
      </c>
      <c r="AZ77" s="36">
        <v>-36993</v>
      </c>
      <c r="BA77" s="36">
        <v>-51797</v>
      </c>
      <c r="BB77" s="36">
        <v>-14763.808577063999</v>
      </c>
      <c r="BC77" s="39">
        <v>-152342.80857706399</v>
      </c>
      <c r="BD77" s="36">
        <f>-BD48</f>
        <v>-150263</v>
      </c>
      <c r="BE77" s="36">
        <v>-50379</v>
      </c>
      <c r="BF77" s="36">
        <v>-62367.294267911435</v>
      </c>
      <c r="BG77" s="36">
        <v>-57450.435019087919</v>
      </c>
      <c r="BH77" s="36">
        <v>-58512</v>
      </c>
      <c r="BI77" s="39">
        <v>-228708.72928699935</v>
      </c>
      <c r="BJ77" s="36">
        <f>-BJ48</f>
        <v>-901952</v>
      </c>
      <c r="BK77" s="36">
        <v>-57432</v>
      </c>
      <c r="BL77" s="36">
        <v>-61420</v>
      </c>
      <c r="BM77" s="36">
        <v>-72005</v>
      </c>
      <c r="BN77" s="36">
        <v>-63925</v>
      </c>
      <c r="BO77" s="39">
        <v>-228708.72928699935</v>
      </c>
      <c r="BP77" s="36">
        <f>-BP48</f>
        <v>-490723</v>
      </c>
      <c r="BQ77" s="36">
        <v>-127903.69611167797</v>
      </c>
      <c r="BR77" s="36">
        <v>-63870.19824165303</v>
      </c>
      <c r="BS77" s="36">
        <v>-68549</v>
      </c>
      <c r="BT77" s="36">
        <v>-93281</v>
      </c>
      <c r="BU77" s="39">
        <f t="shared" si="101"/>
        <v>-353603.89435333101</v>
      </c>
      <c r="BV77" s="36">
        <f>BU77</f>
        <v>-353603.89435333101</v>
      </c>
      <c r="BW77" s="36">
        <v>-127263</v>
      </c>
      <c r="BX77" s="36">
        <v>-126218</v>
      </c>
      <c r="BY77" s="36">
        <v>-127036</v>
      </c>
      <c r="BZ77" s="36">
        <v>-130925</v>
      </c>
      <c r="CA77" s="179">
        <f>SUM(BW77:BZ77)</f>
        <v>-511442</v>
      </c>
      <c r="CB77" s="179">
        <f t="shared" si="103"/>
        <v>-511442</v>
      </c>
      <c r="CC77" s="36">
        <v>-128897</v>
      </c>
      <c r="CD77" s="36">
        <v>-119325.571103436</v>
      </c>
      <c r="CE77" s="36">
        <v>-125622</v>
      </c>
      <c r="CF77" s="36">
        <v>67463</v>
      </c>
      <c r="CG77" s="179">
        <f>SUM(CC77:CF77)</f>
        <v>-306381.571103436</v>
      </c>
      <c r="CH77" s="179">
        <f t="shared" si="112"/>
        <v>-306381.571103436</v>
      </c>
      <c r="CI77" s="36">
        <v>-16516</v>
      </c>
      <c r="CJ77" s="36">
        <v>-20802</v>
      </c>
      <c r="CK77" s="36">
        <v>-15884</v>
      </c>
      <c r="CL77" s="36">
        <v>-262496</v>
      </c>
      <c r="CM77" s="179">
        <f>SUM(CI77:CL77)</f>
        <v>-315698</v>
      </c>
    </row>
    <row r="78" spans="2:91" ht="12" x14ac:dyDescent="0.3">
      <c r="B78" s="111" t="s">
        <v>101</v>
      </c>
      <c r="C78" s="64">
        <v>16761.296000000002</v>
      </c>
      <c r="D78" s="37">
        <v>108667.23300000001</v>
      </c>
      <c r="E78" s="37">
        <v>160841.48500000002</v>
      </c>
      <c r="F78" s="37">
        <v>128107.027</v>
      </c>
      <c r="G78" s="37">
        <v>414897.96600000001</v>
      </c>
      <c r="H78" s="37">
        <f t="shared" ref="H78" si="146">SUM(H67:H77)</f>
        <v>414879.41700000002</v>
      </c>
      <c r="I78" s="37">
        <v>138604</v>
      </c>
      <c r="J78" s="37">
        <v>304220</v>
      </c>
      <c r="K78" s="37">
        <v>448838</v>
      </c>
      <c r="L78" s="37">
        <v>162047</v>
      </c>
      <c r="M78" s="37">
        <v>1053709</v>
      </c>
      <c r="N78" s="37">
        <f t="shared" ref="N78" si="147">SUM(N67:N77)</f>
        <v>1053709</v>
      </c>
      <c r="O78" s="37">
        <v>578093</v>
      </c>
      <c r="P78" s="37">
        <v>673516</v>
      </c>
      <c r="Q78" s="37">
        <v>904027</v>
      </c>
      <c r="R78" s="37">
        <v>747083</v>
      </c>
      <c r="S78" s="37">
        <v>2902719</v>
      </c>
      <c r="T78" s="37">
        <f t="shared" ref="T78" si="148">SUM(T67:T77)</f>
        <v>1371357</v>
      </c>
      <c r="U78" s="37">
        <v>762214</v>
      </c>
      <c r="V78" s="37">
        <v>933514</v>
      </c>
      <c r="W78" s="37">
        <v>1012480</v>
      </c>
      <c r="X78" s="37">
        <v>1274762</v>
      </c>
      <c r="Y78" s="37">
        <v>3982970</v>
      </c>
      <c r="Z78" s="37">
        <f t="shared" ref="Z78" si="149">SUM(Z67:Z77)</f>
        <v>4165231</v>
      </c>
      <c r="AA78" s="37">
        <v>1240117</v>
      </c>
      <c r="AB78" s="37">
        <v>1332687</v>
      </c>
      <c r="AC78" s="37">
        <v>1517474</v>
      </c>
      <c r="AD78" s="37">
        <v>1672956</v>
      </c>
      <c r="AE78" s="37">
        <v>5763234</v>
      </c>
      <c r="AF78" s="37">
        <f t="shared" ref="AF78" si="150">SUM(AF67:AF77)</f>
        <v>5763234</v>
      </c>
      <c r="AG78" s="37">
        <v>1607072</v>
      </c>
      <c r="AH78" s="37">
        <v>1535981</v>
      </c>
      <c r="AI78" s="37">
        <v>1586799</v>
      </c>
      <c r="AJ78" s="37">
        <v>3833664</v>
      </c>
      <c r="AK78" s="37">
        <v>8563516</v>
      </c>
      <c r="AL78" s="37">
        <f t="shared" ref="AL78" si="151">SUM(AL67:AL77)</f>
        <v>5856148.0694905296</v>
      </c>
      <c r="AM78" s="37">
        <v>1691260</v>
      </c>
      <c r="AN78" s="37">
        <v>1597309</v>
      </c>
      <c r="AO78" s="37">
        <v>1562415.20747</v>
      </c>
      <c r="AP78" s="37">
        <v>1547084.0419099999</v>
      </c>
      <c r="AQ78" s="37">
        <v>6398068.2493799999</v>
      </c>
      <c r="AR78" s="37">
        <f t="shared" ref="AR78" si="152">SUM(AR67:AR77)</f>
        <v>6736380</v>
      </c>
      <c r="AS78" s="37">
        <v>1991406.3230899996</v>
      </c>
      <c r="AT78" s="37">
        <v>1957880.89</v>
      </c>
      <c r="AU78" s="37">
        <v>2202920.9999999995</v>
      </c>
      <c r="AV78" s="37">
        <v>2353151</v>
      </c>
      <c r="AW78" s="37">
        <v>8505359.2130899988</v>
      </c>
      <c r="AX78" s="37">
        <f t="shared" ref="AX78" si="153">SUM(AX67:AX77)</f>
        <v>8758197.3230899982</v>
      </c>
      <c r="AY78" s="37">
        <v>2218413</v>
      </c>
      <c r="AZ78" s="37">
        <v>2206178</v>
      </c>
      <c r="BA78" s="37">
        <v>2220714</v>
      </c>
      <c r="BB78" s="37">
        <v>2475560.4464429352</v>
      </c>
      <c r="BC78" s="37">
        <v>9120865.4464429356</v>
      </c>
      <c r="BD78" s="37">
        <f t="shared" ref="BD78" si="154">SUM(BD67:BD77)</f>
        <v>8904977</v>
      </c>
      <c r="BE78" s="37">
        <v>2281774</v>
      </c>
      <c r="BF78" s="37">
        <v>1003382.7057320885</v>
      </c>
      <c r="BG78" s="37">
        <f>SUM(BG67:BG77)</f>
        <v>1146306.564980912</v>
      </c>
      <c r="BH78" s="37">
        <f>SUM(BH67:BH77)</f>
        <v>1828529</v>
      </c>
      <c r="BI78" s="37">
        <f>SUM(BE78:BH78)</f>
        <v>6259992.2707130006</v>
      </c>
      <c r="BJ78" s="37">
        <f t="shared" ref="BJ78" si="155">SUM(BJ67:BJ77)</f>
        <v>5991204</v>
      </c>
      <c r="BK78" s="37">
        <f>SUM(BK67:BK77)</f>
        <v>2058965.277900001</v>
      </c>
      <c r="BL78" s="37">
        <f>SUM(BL67:BL77)</f>
        <v>2179682</v>
      </c>
      <c r="BM78" s="37">
        <f>SUM(BM67:BM77)</f>
        <v>2221848</v>
      </c>
      <c r="BN78" s="37">
        <f>SUM(BN67:BN77)</f>
        <v>2538930</v>
      </c>
      <c r="BO78" s="37">
        <f>SUM(BK78:BN78)</f>
        <v>8999425.277900001</v>
      </c>
      <c r="BP78" s="37">
        <f t="shared" ref="BP78:BQ78" si="156">SUM(BP67:BP77)</f>
        <v>8848160</v>
      </c>
      <c r="BQ78" s="37">
        <f t="shared" si="156"/>
        <v>2384896.3038883219</v>
      </c>
      <c r="BR78" s="37">
        <f>SUM(BR67:BR77)</f>
        <v>2341708.8017583471</v>
      </c>
      <c r="BS78" s="37">
        <f>SUM(BS67:BS77)</f>
        <v>2275388</v>
      </c>
      <c r="BT78" s="37">
        <f>SUM(BT67:BT77)</f>
        <v>2249396</v>
      </c>
      <c r="BU78" s="37">
        <f>SUM(BQ78:BT78)</f>
        <v>9251389.1056466699</v>
      </c>
      <c r="BV78" s="37">
        <f t="shared" ref="BV78:BW78" si="157">SUM(BV67:BV77)</f>
        <v>9251390.1056466699</v>
      </c>
      <c r="BW78" s="37">
        <f t="shared" si="157"/>
        <v>2219722</v>
      </c>
      <c r="BX78" s="37">
        <f>SUM(BX67:BX77)</f>
        <v>2175154</v>
      </c>
      <c r="BY78" s="37">
        <f>SUM(BY67:BY77)</f>
        <v>2216906</v>
      </c>
      <c r="BZ78" s="37">
        <f>SUM(BZ67:BZ77)</f>
        <v>2306358</v>
      </c>
      <c r="CA78" s="37">
        <f>SUM(CA67:CA77)</f>
        <v>8918140</v>
      </c>
      <c r="CB78" s="37">
        <f t="shared" ref="CB78:CF78" si="158">SUM(CB67:CB77)</f>
        <v>8918140</v>
      </c>
      <c r="CC78" s="37">
        <f t="shared" si="158"/>
        <v>2230336</v>
      </c>
      <c r="CD78" s="37">
        <f>SUM(CD67:CD77)-1</f>
        <v>2185523.4288965641</v>
      </c>
      <c r="CE78" s="37">
        <f t="shared" si="158"/>
        <v>2279093</v>
      </c>
      <c r="CF78" s="37">
        <f t="shared" si="158"/>
        <v>2509900</v>
      </c>
      <c r="CG78" s="37">
        <f>SUM(CG67:CG77)-1</f>
        <v>9204852.4288965631</v>
      </c>
      <c r="CH78" s="37">
        <f t="shared" ref="CH78" si="159">SUM(CH67:CH77)</f>
        <v>9204853.4288965631</v>
      </c>
      <c r="CI78" s="37">
        <f>SUM(CI67:CI77)</f>
        <v>2384782</v>
      </c>
      <c r="CJ78" s="37">
        <f>SUM(CJ67:CJ77)</f>
        <v>2344815</v>
      </c>
      <c r="CK78" s="37">
        <f t="shared" ref="CK78:CL78" si="160">SUM(CK67:CK77)</f>
        <v>2391475</v>
      </c>
      <c r="CL78" s="37">
        <f t="shared" si="160"/>
        <v>2548849</v>
      </c>
      <c r="CM78" s="37">
        <f>SUM(CM67:CM77)</f>
        <v>9669921</v>
      </c>
    </row>
    <row r="79" spans="2:91" ht="12" x14ac:dyDescent="0.3">
      <c r="B79" s="109" t="s">
        <v>102</v>
      </c>
      <c r="C79" s="63">
        <v>0</v>
      </c>
      <c r="D79" s="38">
        <v>0</v>
      </c>
      <c r="E79" s="38">
        <v>0</v>
      </c>
      <c r="F79" s="38">
        <v>0</v>
      </c>
      <c r="G79" s="38">
        <v>0</v>
      </c>
      <c r="H79" s="36">
        <f>+H26</f>
        <v>0</v>
      </c>
      <c r="I79" s="38">
        <v>0</v>
      </c>
      <c r="J79" s="38">
        <v>0</v>
      </c>
      <c r="K79" s="38">
        <v>0</v>
      </c>
      <c r="L79" s="38">
        <v>0</v>
      </c>
      <c r="M79" s="38">
        <v>0</v>
      </c>
      <c r="N79" s="36">
        <f>+N26</f>
        <v>0</v>
      </c>
      <c r="O79" s="38">
        <v>0</v>
      </c>
      <c r="P79" s="38">
        <v>0</v>
      </c>
      <c r="Q79" s="38">
        <v>0</v>
      </c>
      <c r="R79" s="38">
        <v>0</v>
      </c>
      <c r="S79" s="38">
        <v>0</v>
      </c>
      <c r="T79" s="36">
        <f>+T26</f>
        <v>0</v>
      </c>
      <c r="U79" s="38">
        <v>0</v>
      </c>
      <c r="V79" s="38">
        <v>0</v>
      </c>
      <c r="W79" s="38">
        <v>0</v>
      </c>
      <c r="X79" s="38">
        <v>0</v>
      </c>
      <c r="Y79" s="38">
        <v>0</v>
      </c>
      <c r="Z79" s="36">
        <f>+Z26</f>
        <v>0</v>
      </c>
      <c r="AA79" s="38">
        <v>0</v>
      </c>
      <c r="AB79" s="38">
        <v>0</v>
      </c>
      <c r="AC79" s="38">
        <v>0</v>
      </c>
      <c r="AD79" s="38">
        <v>0</v>
      </c>
      <c r="AE79" s="39">
        <v>0</v>
      </c>
      <c r="AF79" s="36">
        <f>+AF26</f>
        <v>0</v>
      </c>
      <c r="AG79" s="38">
        <v>0</v>
      </c>
      <c r="AH79" s="38">
        <v>0</v>
      </c>
      <c r="AI79" s="38">
        <v>0</v>
      </c>
      <c r="AJ79" s="38">
        <v>0</v>
      </c>
      <c r="AK79" s="39">
        <v>0</v>
      </c>
      <c r="AL79" s="36">
        <f>+AL26</f>
        <v>0</v>
      </c>
      <c r="AM79" s="71">
        <v>0</v>
      </c>
      <c r="AN79" s="71">
        <v>0</v>
      </c>
      <c r="AO79" s="71">
        <v>0</v>
      </c>
      <c r="AP79" s="38">
        <v>0</v>
      </c>
      <c r="AQ79" s="39">
        <v>0</v>
      </c>
      <c r="AR79" s="36">
        <f>+AR26</f>
        <v>83800</v>
      </c>
      <c r="AS79" s="38">
        <v>22896</v>
      </c>
      <c r="AT79" s="36">
        <v>87212</v>
      </c>
      <c r="AU79" s="36">
        <v>64068</v>
      </c>
      <c r="AV79" s="36">
        <v>49115</v>
      </c>
      <c r="AW79" s="39">
        <v>223291</v>
      </c>
      <c r="AX79" s="36">
        <f>+AX26</f>
        <v>223290.84896999999</v>
      </c>
      <c r="AY79" s="36">
        <v>40000</v>
      </c>
      <c r="AZ79" s="36">
        <v>0</v>
      </c>
      <c r="BA79" s="36">
        <v>10575</v>
      </c>
      <c r="BB79" s="36">
        <v>0</v>
      </c>
      <c r="BC79" s="39">
        <v>50575</v>
      </c>
      <c r="BD79" s="36">
        <f>+BD26</f>
        <v>50575</v>
      </c>
      <c r="BE79" s="36">
        <v>0</v>
      </c>
      <c r="BF79" s="36">
        <v>0</v>
      </c>
      <c r="BG79" s="36">
        <f>-BG76</f>
        <v>199898</v>
      </c>
      <c r="BH79" s="36">
        <v>289782</v>
      </c>
      <c r="BI79" s="39">
        <f>SUM(BE79:BH79)</f>
        <v>489680</v>
      </c>
      <c r="BJ79" s="36">
        <f>+BJ26</f>
        <v>489680</v>
      </c>
      <c r="BK79" s="36">
        <f>BK26</f>
        <v>47181</v>
      </c>
      <c r="BL79" s="36">
        <f>BL26</f>
        <v>0</v>
      </c>
      <c r="BM79" s="36">
        <f>BM26</f>
        <v>0</v>
      </c>
      <c r="BN79" s="36">
        <f>BN26</f>
        <v>96192</v>
      </c>
      <c r="BO79" s="39">
        <f>SUM(BK79:BN79)</f>
        <v>143373</v>
      </c>
      <c r="BP79" s="36">
        <f>+BP26</f>
        <v>143373</v>
      </c>
      <c r="BQ79" s="36">
        <f t="shared" ref="BQ79:BS79" si="161">BQ26</f>
        <v>0</v>
      </c>
      <c r="BR79" s="36">
        <f t="shared" si="161"/>
        <v>131795</v>
      </c>
      <c r="BS79" s="36">
        <f t="shared" si="161"/>
        <v>143432</v>
      </c>
      <c r="BT79" s="36">
        <f>BT26</f>
        <v>597825</v>
      </c>
      <c r="BU79" s="39">
        <f>SUM(BQ79:BT79)</f>
        <v>873052</v>
      </c>
      <c r="BV79" s="36">
        <f>+BV26</f>
        <v>873052</v>
      </c>
      <c r="BW79" s="36">
        <f t="shared" ref="BW79:BX79" si="162">BW26</f>
        <v>0</v>
      </c>
      <c r="BX79" s="36">
        <f t="shared" si="162"/>
        <v>0</v>
      </c>
      <c r="BY79" s="36">
        <f t="shared" ref="BY79:BZ79" si="163">BY26</f>
        <v>0</v>
      </c>
      <c r="BZ79" s="36">
        <f t="shared" si="163"/>
        <v>0</v>
      </c>
      <c r="CA79" s="39">
        <f>SUM(BW79:BZ79)</f>
        <v>0</v>
      </c>
      <c r="CB79" s="39">
        <f>SUM(BX79:CA79)</f>
        <v>0</v>
      </c>
      <c r="CC79" s="36">
        <f>CC26</f>
        <v>0</v>
      </c>
      <c r="CD79" s="36">
        <f>CD26</f>
        <v>0</v>
      </c>
      <c r="CE79" s="36">
        <f>CE26</f>
        <v>0</v>
      </c>
      <c r="CF79" s="36">
        <f>CF26</f>
        <v>0</v>
      </c>
      <c r="CG79" s="39">
        <f>SUM(CC79:CF79)</f>
        <v>0</v>
      </c>
      <c r="CH79" s="39">
        <f>SUM(CC79:CF79)</f>
        <v>0</v>
      </c>
      <c r="CI79" s="36">
        <f>CI26</f>
        <v>0</v>
      </c>
      <c r="CJ79" s="36">
        <f>CJ26</f>
        <v>0</v>
      </c>
      <c r="CK79" s="36">
        <f>CK26</f>
        <v>44117</v>
      </c>
      <c r="CL79" s="36">
        <f>CL26</f>
        <v>8178</v>
      </c>
      <c r="CM79" s="39">
        <f>SUM(CI79:CL79)</f>
        <v>52295</v>
      </c>
    </row>
    <row r="80" spans="2:91" ht="12" x14ac:dyDescent="0.3">
      <c r="B80" s="168" t="s">
        <v>335</v>
      </c>
      <c r="C80" s="63"/>
      <c r="D80" s="38"/>
      <c r="E80" s="38"/>
      <c r="F80" s="38"/>
      <c r="G80" s="38"/>
      <c r="H80" s="36"/>
      <c r="I80" s="38"/>
      <c r="J80" s="38"/>
      <c r="K80" s="38"/>
      <c r="L80" s="38"/>
      <c r="M80" s="38"/>
      <c r="N80" s="36"/>
      <c r="O80" s="38"/>
      <c r="P80" s="38"/>
      <c r="Q80" s="38"/>
      <c r="R80" s="38"/>
      <c r="S80" s="38"/>
      <c r="T80" s="36"/>
      <c r="U80" s="38"/>
      <c r="V80" s="38"/>
      <c r="W80" s="38"/>
      <c r="X80" s="38"/>
      <c r="Y80" s="38"/>
      <c r="Z80" s="36"/>
      <c r="AA80" s="38"/>
      <c r="AB80" s="38"/>
      <c r="AC80" s="38"/>
      <c r="AD80" s="38"/>
      <c r="AE80" s="39"/>
      <c r="AF80" s="36"/>
      <c r="AG80" s="38"/>
      <c r="AH80" s="38"/>
      <c r="AI80" s="38"/>
      <c r="AJ80" s="38"/>
      <c r="AK80" s="39"/>
      <c r="AL80" s="36"/>
      <c r="AM80" s="71"/>
      <c r="AN80" s="71"/>
      <c r="AO80" s="71"/>
      <c r="AP80" s="38"/>
      <c r="AQ80" s="39"/>
      <c r="AR80" s="36"/>
      <c r="AS80" s="38"/>
      <c r="AT80" s="36"/>
      <c r="AU80" s="36"/>
      <c r="AV80" s="36"/>
      <c r="AW80" s="39"/>
      <c r="AX80" s="36"/>
      <c r="AY80" s="36"/>
      <c r="AZ80" s="36"/>
      <c r="BA80" s="36"/>
      <c r="BB80" s="36"/>
      <c r="BC80" s="39"/>
      <c r="BD80" s="36"/>
      <c r="BE80" s="36"/>
      <c r="BF80" s="36"/>
      <c r="BG80" s="36"/>
      <c r="BH80" s="36"/>
      <c r="BI80" s="39"/>
      <c r="BJ80" s="36"/>
      <c r="BK80" s="36"/>
      <c r="BL80" s="36"/>
      <c r="BM80" s="36"/>
      <c r="BN80" s="36"/>
      <c r="BO80" s="39"/>
      <c r="BP80" s="36">
        <v>0</v>
      </c>
      <c r="BQ80" s="36">
        <v>0</v>
      </c>
      <c r="BR80" s="36">
        <v>0</v>
      </c>
      <c r="BS80" s="36">
        <f>BS27</f>
        <v>97169</v>
      </c>
      <c r="BT80" s="36">
        <v>0</v>
      </c>
      <c r="BU80" s="39">
        <f>SUM(BQ80:BT80)</f>
        <v>97169</v>
      </c>
      <c r="BV80" s="36">
        <v>97169</v>
      </c>
      <c r="BW80" s="36">
        <v>0</v>
      </c>
      <c r="BX80" s="36">
        <v>0</v>
      </c>
      <c r="BY80" s="36">
        <v>0</v>
      </c>
      <c r="BZ80" s="36">
        <v>0</v>
      </c>
      <c r="CA80" s="39">
        <f>SUM(BW80:BZ80)</f>
        <v>0</v>
      </c>
      <c r="CB80" s="39">
        <f>SUM(BX80:CA80)</f>
        <v>0</v>
      </c>
      <c r="CC80" s="36">
        <v>0</v>
      </c>
      <c r="CD80" s="36">
        <v>0</v>
      </c>
      <c r="CE80" s="36">
        <v>0</v>
      </c>
      <c r="CF80" s="36">
        <v>0</v>
      </c>
      <c r="CG80" s="39">
        <f>SUM(CC80:CF80)</f>
        <v>0</v>
      </c>
      <c r="CH80" s="39">
        <f t="shared" ref="CH80:CH81" si="164">SUM(CC80:CF80)</f>
        <v>0</v>
      </c>
      <c r="CI80" s="36">
        <v>0</v>
      </c>
      <c r="CJ80" s="36">
        <v>0</v>
      </c>
      <c r="CK80" s="36">
        <v>0</v>
      </c>
      <c r="CL80" s="36">
        <v>0</v>
      </c>
      <c r="CM80" s="39">
        <f>SUM(CI80:CL80)</f>
        <v>0</v>
      </c>
    </row>
    <row r="81" spans="2:91" ht="12" x14ac:dyDescent="0.3">
      <c r="B81" s="109" t="s">
        <v>103</v>
      </c>
      <c r="C81" s="63">
        <v>-500</v>
      </c>
      <c r="D81" s="38">
        <v>-500</v>
      </c>
      <c r="E81" s="38">
        <v>-500</v>
      </c>
      <c r="F81" s="38">
        <v>-500</v>
      </c>
      <c r="G81" s="38">
        <v>-2000</v>
      </c>
      <c r="H81" s="36"/>
      <c r="I81" s="38">
        <v>-1750</v>
      </c>
      <c r="J81" s="38">
        <v>-1750</v>
      </c>
      <c r="K81" s="38">
        <v>-1750</v>
      </c>
      <c r="L81" s="38">
        <v>-1750</v>
      </c>
      <c r="M81" s="38">
        <v>-7000</v>
      </c>
      <c r="N81" s="36"/>
      <c r="O81" s="38">
        <v>-3500</v>
      </c>
      <c r="P81" s="38">
        <v>-3500</v>
      </c>
      <c r="Q81" s="38">
        <v>-3500</v>
      </c>
      <c r="R81" s="38">
        <v>-3500</v>
      </c>
      <c r="S81" s="38">
        <v>-14000</v>
      </c>
      <c r="T81" s="36"/>
      <c r="U81" s="38">
        <v>-7000</v>
      </c>
      <c r="V81" s="38">
        <v>-7000</v>
      </c>
      <c r="W81" s="38">
        <v>-7000</v>
      </c>
      <c r="X81" s="38">
        <v>-7000</v>
      </c>
      <c r="Y81" s="38">
        <v>-28000</v>
      </c>
      <c r="Z81" s="36"/>
      <c r="AA81" s="38">
        <v>-7000</v>
      </c>
      <c r="AB81" s="38">
        <v>-7000</v>
      </c>
      <c r="AC81" s="38">
        <v>-7000</v>
      </c>
      <c r="AD81" s="38">
        <v>-7000</v>
      </c>
      <c r="AE81" s="39">
        <v>-28000</v>
      </c>
      <c r="AF81" s="36"/>
      <c r="AG81" s="38">
        <v>-7000</v>
      </c>
      <c r="AH81" s="38">
        <v>-7000</v>
      </c>
      <c r="AI81" s="38">
        <v>-7000</v>
      </c>
      <c r="AJ81" s="38">
        <v>-7000</v>
      </c>
      <c r="AK81" s="39">
        <v>-28000</v>
      </c>
      <c r="AL81" s="36"/>
      <c r="AM81" s="38">
        <v>-7000</v>
      </c>
      <c r="AN81" s="38">
        <v>-7000</v>
      </c>
      <c r="AO81" s="38">
        <v>-7000</v>
      </c>
      <c r="AP81" s="38">
        <v>0</v>
      </c>
      <c r="AQ81" s="39">
        <v>-21000</v>
      </c>
      <c r="AR81" s="36"/>
      <c r="AS81" s="38">
        <v>0</v>
      </c>
      <c r="AT81" s="36">
        <v>0</v>
      </c>
      <c r="AU81" s="36">
        <v>0</v>
      </c>
      <c r="AV81" s="36">
        <v>0</v>
      </c>
      <c r="AW81" s="39">
        <v>0</v>
      </c>
      <c r="AX81" s="36"/>
      <c r="AY81" s="36">
        <v>0</v>
      </c>
      <c r="AZ81" s="36">
        <v>0</v>
      </c>
      <c r="BA81" s="36">
        <v>0</v>
      </c>
      <c r="BB81" s="36">
        <v>0</v>
      </c>
      <c r="BC81" s="39">
        <v>0</v>
      </c>
      <c r="BD81" s="36"/>
      <c r="BE81" s="36">
        <v>0</v>
      </c>
      <c r="BF81" s="36">
        <v>0</v>
      </c>
      <c r="BG81" s="36">
        <v>0</v>
      </c>
      <c r="BH81" s="36">
        <v>0</v>
      </c>
      <c r="BI81" s="39">
        <v>0</v>
      </c>
      <c r="BJ81" s="36"/>
      <c r="BK81" s="36">
        <v>0</v>
      </c>
      <c r="BL81" s="36">
        <v>0</v>
      </c>
      <c r="BM81" s="36">
        <v>0</v>
      </c>
      <c r="BN81" s="36">
        <v>0</v>
      </c>
      <c r="BO81" s="39">
        <v>0</v>
      </c>
      <c r="BP81" s="36">
        <v>0</v>
      </c>
      <c r="BQ81" s="36">
        <v>0</v>
      </c>
      <c r="BR81" s="36">
        <v>0</v>
      </c>
      <c r="BS81" s="36">
        <v>0</v>
      </c>
      <c r="BT81" s="36">
        <v>0</v>
      </c>
      <c r="BU81" s="39">
        <f t="shared" ref="BU81" si="165">SUM(BQ81:BT81)</f>
        <v>0</v>
      </c>
      <c r="BV81" s="36">
        <v>0</v>
      </c>
      <c r="BW81" s="36">
        <v>0</v>
      </c>
      <c r="BX81" s="36">
        <v>0</v>
      </c>
      <c r="BY81" s="36">
        <v>0</v>
      </c>
      <c r="BZ81" s="36">
        <v>0</v>
      </c>
      <c r="CA81" s="39">
        <f t="shared" ref="CA81:CB81" si="166">SUM(BW81:BZ81)</f>
        <v>0</v>
      </c>
      <c r="CB81" s="39">
        <f t="shared" si="166"/>
        <v>0</v>
      </c>
      <c r="CC81" s="36">
        <v>0</v>
      </c>
      <c r="CD81" s="36">
        <v>0</v>
      </c>
      <c r="CE81" s="36">
        <v>0</v>
      </c>
      <c r="CF81" s="36">
        <v>0</v>
      </c>
      <c r="CG81" s="39">
        <f t="shared" ref="CG81" si="167">SUM(CC81:CF81)</f>
        <v>0</v>
      </c>
      <c r="CH81" s="39">
        <f t="shared" si="164"/>
        <v>0</v>
      </c>
      <c r="CI81" s="36">
        <v>0</v>
      </c>
      <c r="CJ81" s="36">
        <v>0</v>
      </c>
      <c r="CK81" s="36">
        <v>0</v>
      </c>
      <c r="CL81" s="36">
        <v>0</v>
      </c>
      <c r="CM81" s="39">
        <f t="shared" ref="CM81" si="168">SUM(CI81:CL81)</f>
        <v>0</v>
      </c>
    </row>
    <row r="82" spans="2:91" ht="12" x14ac:dyDescent="0.3">
      <c r="B82" s="111" t="s">
        <v>104</v>
      </c>
      <c r="C82" s="64">
        <v>16261.296000000002</v>
      </c>
      <c r="D82" s="37">
        <v>108167.23300000001</v>
      </c>
      <c r="E82" s="37">
        <v>160341.48500000002</v>
      </c>
      <c r="F82" s="37">
        <v>127607.027</v>
      </c>
      <c r="G82" s="37">
        <v>412897.96600000001</v>
      </c>
      <c r="H82" s="37">
        <f>SUM(H78:H79)</f>
        <v>414879.41700000002</v>
      </c>
      <c r="I82" s="37">
        <v>136854</v>
      </c>
      <c r="J82" s="37">
        <v>302470</v>
      </c>
      <c r="K82" s="37">
        <v>447088</v>
      </c>
      <c r="L82" s="37">
        <v>160297</v>
      </c>
      <c r="M82" s="37">
        <v>1046709</v>
      </c>
      <c r="N82" s="37">
        <f>SUM(N78:N79)</f>
        <v>1053709</v>
      </c>
      <c r="O82" s="37">
        <v>574593</v>
      </c>
      <c r="P82" s="37">
        <v>670016</v>
      </c>
      <c r="Q82" s="37">
        <v>900527</v>
      </c>
      <c r="R82" s="37">
        <v>743583</v>
      </c>
      <c r="S82" s="37">
        <v>2888719</v>
      </c>
      <c r="T82" s="37">
        <f>SUM(T78:T79)</f>
        <v>1371357</v>
      </c>
      <c r="U82" s="37">
        <v>755214</v>
      </c>
      <c r="V82" s="37">
        <v>926514</v>
      </c>
      <c r="W82" s="37">
        <v>1005480</v>
      </c>
      <c r="X82" s="37">
        <v>1267762</v>
      </c>
      <c r="Y82" s="37">
        <v>3954970</v>
      </c>
      <c r="Z82" s="37">
        <f>SUM(Z78:Z79)</f>
        <v>4165231</v>
      </c>
      <c r="AA82" s="37">
        <v>1233117</v>
      </c>
      <c r="AB82" s="37">
        <v>1325687</v>
      </c>
      <c r="AC82" s="37">
        <v>1510474</v>
      </c>
      <c r="AD82" s="37">
        <v>1665956</v>
      </c>
      <c r="AE82" s="37">
        <v>5735234</v>
      </c>
      <c r="AF82" s="37">
        <f>SUM(AF78:AF79)</f>
        <v>5763234</v>
      </c>
      <c r="AG82" s="37">
        <v>1600072</v>
      </c>
      <c r="AH82" s="37">
        <v>1528981</v>
      </c>
      <c r="AI82" s="37">
        <v>1579799</v>
      </c>
      <c r="AJ82" s="37">
        <v>3826664</v>
      </c>
      <c r="AK82" s="37">
        <v>8535516</v>
      </c>
      <c r="AL82" s="37">
        <f>SUM(AL78:AL79)</f>
        <v>5856148.0694905296</v>
      </c>
      <c r="AM82" s="37">
        <v>1684260</v>
      </c>
      <c r="AN82" s="37">
        <v>1590309</v>
      </c>
      <c r="AO82" s="37">
        <v>1555415.20747</v>
      </c>
      <c r="AP82" s="37">
        <v>1547084.0419099999</v>
      </c>
      <c r="AQ82" s="37">
        <v>6377068.2493799999</v>
      </c>
      <c r="AR82" s="37">
        <f>SUM(AR78:AR79)</f>
        <v>6820180</v>
      </c>
      <c r="AS82" s="37">
        <v>2014302.3230899996</v>
      </c>
      <c r="AT82" s="37">
        <v>2045092.89</v>
      </c>
      <c r="AU82" s="37">
        <v>2266988.9999999995</v>
      </c>
      <c r="AV82" s="37">
        <v>2402266</v>
      </c>
      <c r="AW82" s="37">
        <v>8728650.2130899988</v>
      </c>
      <c r="AX82" s="37">
        <f>SUM(AX78:AX79)</f>
        <v>8981488.1720599979</v>
      </c>
      <c r="AY82" s="37">
        <v>2258413</v>
      </c>
      <c r="AZ82" s="37">
        <v>2206178</v>
      </c>
      <c r="BA82" s="37">
        <v>2231289</v>
      </c>
      <c r="BB82" s="37">
        <v>2475560.4464429352</v>
      </c>
      <c r="BC82" s="37">
        <v>9171440.4464429356</v>
      </c>
      <c r="BD82" s="37">
        <f>SUM(BD78:BD79)</f>
        <v>8955552</v>
      </c>
      <c r="BE82" s="37">
        <v>2281774</v>
      </c>
      <c r="BF82" s="37">
        <v>1003382.7057320885</v>
      </c>
      <c r="BG82" s="37">
        <f>SUM(BG78:BG81)</f>
        <v>1346204.564980912</v>
      </c>
      <c r="BH82" s="37">
        <f>SUM(BH78:BH81)</f>
        <v>2118311</v>
      </c>
      <c r="BI82" s="37">
        <f>SUM(BI78:BI79)</f>
        <v>6749672.2707130006</v>
      </c>
      <c r="BJ82" s="37">
        <f>SUM(BJ78:BJ79)</f>
        <v>6480884</v>
      </c>
      <c r="BK82" s="37">
        <f>SUM(BK78:BK81)</f>
        <v>2106146.277900001</v>
      </c>
      <c r="BL82" s="37">
        <f>SUM(BL78:BL81)</f>
        <v>2179682</v>
      </c>
      <c r="BM82" s="37">
        <f>SUM(BM78:BM81)</f>
        <v>2221848</v>
      </c>
      <c r="BN82" s="37">
        <f>SUM(BN78:BN81)</f>
        <v>2635122</v>
      </c>
      <c r="BO82" s="37">
        <f>SUM(BO78:BO79)</f>
        <v>9142798.277900001</v>
      </c>
      <c r="BP82" s="37">
        <f>SUM(BP78:BP79)</f>
        <v>8991533</v>
      </c>
      <c r="BQ82" s="37">
        <f t="shared" ref="BQ82:BR82" si="169">SUM(BQ78:BQ81)</f>
        <v>2384896.3038883219</v>
      </c>
      <c r="BR82" s="37">
        <f t="shared" si="169"/>
        <v>2473503.8017583471</v>
      </c>
      <c r="BS82" s="37">
        <f>SUM(BS78:BS81)</f>
        <v>2515989</v>
      </c>
      <c r="BT82" s="37">
        <f t="shared" ref="BT82" si="170">SUM(BT78:BT81)</f>
        <v>2847221</v>
      </c>
      <c r="BU82" s="37">
        <f>SUM(BU78:BU81)</f>
        <v>10221610.10564667</v>
      </c>
      <c r="BV82" s="37">
        <f>SUM(BV78:BV81)</f>
        <v>10221611.10564667</v>
      </c>
      <c r="BW82" s="37">
        <f t="shared" ref="BW82:BX82" si="171">SUM(BW78:BW81)</f>
        <v>2219722</v>
      </c>
      <c r="BX82" s="37">
        <f t="shared" si="171"/>
        <v>2175154</v>
      </c>
      <c r="BY82" s="37">
        <f>SUM(BY78:BY81)</f>
        <v>2216906</v>
      </c>
      <c r="BZ82" s="37">
        <f t="shared" ref="BZ82" si="172">SUM(BZ78:BZ81)</f>
        <v>2306358</v>
      </c>
      <c r="CA82" s="37">
        <f>SUM(CA78:CA81)</f>
        <v>8918140</v>
      </c>
      <c r="CB82" s="37">
        <f>SUM(CB78:CB81)</f>
        <v>8918140</v>
      </c>
      <c r="CC82" s="37">
        <f t="shared" ref="CC82:CD82" si="173">SUM(CC78:CC81)</f>
        <v>2230336</v>
      </c>
      <c r="CD82" s="37">
        <f t="shared" si="173"/>
        <v>2185523.4288965641</v>
      </c>
      <c r="CE82" s="37">
        <f>SUM(CE78:CE81)</f>
        <v>2279093</v>
      </c>
      <c r="CF82" s="37">
        <f t="shared" ref="CF82" si="174">SUM(CF78:CF81)</f>
        <v>2509900</v>
      </c>
      <c r="CG82" s="37">
        <f>SUM(CG78:CG81)</f>
        <v>9204852.4288965631</v>
      </c>
      <c r="CH82" s="37">
        <f>SUM(CH78:CH81)</f>
        <v>9204853.4288965631</v>
      </c>
      <c r="CI82" s="37">
        <f t="shared" ref="CI82:CJ82" si="175">SUM(CI78:CI81)</f>
        <v>2384782</v>
      </c>
      <c r="CJ82" s="37">
        <f t="shared" si="175"/>
        <v>2344815</v>
      </c>
      <c r="CK82" s="37">
        <f>SUM(CK78:CK81)</f>
        <v>2435592</v>
      </c>
      <c r="CL82" s="37">
        <f t="shared" ref="CL82" si="176">SUM(CL78:CL81)</f>
        <v>2557027</v>
      </c>
      <c r="CM82" s="37">
        <f>SUM(CM78:CM81)</f>
        <v>9722216</v>
      </c>
    </row>
    <row r="83" spans="2:91" ht="12" x14ac:dyDescent="0.3">
      <c r="B83" s="47"/>
      <c r="C83" s="63"/>
      <c r="D83" s="38"/>
      <c r="E83" s="38"/>
      <c r="F83" s="38"/>
      <c r="G83" s="38"/>
      <c r="H83" s="38"/>
      <c r="I83" s="38"/>
      <c r="J83" s="38"/>
      <c r="K83" s="38"/>
      <c r="L83" s="38"/>
      <c r="M83" s="38"/>
      <c r="N83" s="38"/>
      <c r="O83" s="38"/>
      <c r="P83" s="38"/>
      <c r="Q83" s="38"/>
      <c r="R83" s="38"/>
      <c r="S83" s="38"/>
      <c r="T83" s="38"/>
      <c r="U83" s="38"/>
      <c r="V83" s="38"/>
      <c r="W83" s="38"/>
      <c r="X83" s="38"/>
      <c r="Y83" s="38"/>
      <c r="Z83" s="38"/>
      <c r="AA83" s="38"/>
      <c r="AB83" s="39"/>
      <c r="AC83" s="39"/>
      <c r="AD83" s="39"/>
      <c r="AE83" s="39"/>
      <c r="AF83" s="39"/>
      <c r="AG83" s="38"/>
      <c r="AH83" s="36"/>
      <c r="AI83" s="36"/>
      <c r="AJ83" s="36"/>
      <c r="AK83" s="39"/>
      <c r="AL83" s="39"/>
      <c r="AM83" s="38"/>
      <c r="AN83" s="36"/>
      <c r="AO83" s="41"/>
      <c r="AP83" s="36"/>
      <c r="AQ83" s="39"/>
      <c r="AR83" s="36"/>
      <c r="AS83" s="36"/>
      <c r="AT83" s="36"/>
      <c r="AU83" s="36"/>
      <c r="AV83" s="36"/>
      <c r="AW83" s="39"/>
      <c r="AX83" s="36"/>
      <c r="AY83" s="36"/>
      <c r="AZ83" s="36"/>
      <c r="BA83" s="36"/>
      <c r="BB83" s="36"/>
      <c r="BC83" s="39"/>
      <c r="BD83" s="36"/>
      <c r="BE83" s="36"/>
      <c r="BF83" s="36"/>
      <c r="BG83" s="36"/>
      <c r="BH83" s="36"/>
      <c r="BI83" s="39"/>
      <c r="BJ83" s="36"/>
      <c r="BK83" s="36"/>
      <c r="BL83" s="36"/>
      <c r="BM83" s="36"/>
      <c r="BN83" s="36"/>
      <c r="BO83" s="39"/>
      <c r="BP83" s="36"/>
      <c r="BQ83" s="36"/>
      <c r="BR83" s="36"/>
      <c r="BT83" s="36"/>
      <c r="BU83" s="39"/>
      <c r="BV83" s="36"/>
      <c r="BW83" s="36"/>
      <c r="BX83" s="36"/>
      <c r="BZ83" s="36"/>
      <c r="CA83" s="39"/>
      <c r="CB83" s="39"/>
      <c r="CC83" s="36"/>
      <c r="CD83" s="36"/>
      <c r="CF83" s="36"/>
      <c r="CG83" s="39"/>
      <c r="CH83" s="39"/>
      <c r="CI83" s="36"/>
      <c r="CJ83" s="36"/>
      <c r="CL83" s="36"/>
      <c r="CM83" s="39"/>
    </row>
    <row r="84" spans="2:91" ht="12" x14ac:dyDescent="0.3">
      <c r="C84" s="82"/>
      <c r="D84" s="82"/>
      <c r="E84" s="82"/>
      <c r="F84" s="82"/>
      <c r="G84" s="43"/>
      <c r="H84" s="43"/>
      <c r="I84" s="43"/>
      <c r="J84" s="43"/>
      <c r="K84" s="43"/>
      <c r="L84" s="43"/>
      <c r="M84" s="43"/>
      <c r="N84" s="43"/>
      <c r="O84" s="43"/>
      <c r="P84" s="43"/>
      <c r="Q84" s="43"/>
      <c r="R84" s="43"/>
      <c r="S84" s="43"/>
      <c r="T84" s="43"/>
      <c r="U84" s="43"/>
      <c r="V84" s="43"/>
      <c r="W84" s="43"/>
      <c r="X84" s="43"/>
      <c r="Y84" s="43"/>
      <c r="Z84" s="43"/>
      <c r="AA84" s="43"/>
      <c r="AB84" s="43"/>
      <c r="AC84" s="43"/>
      <c r="AD84" s="44">
        <f>AD62</f>
        <v>2518881</v>
      </c>
      <c r="AE84" s="44"/>
      <c r="AF84" s="44"/>
      <c r="AG84" s="44"/>
      <c r="AH84" s="44"/>
      <c r="AI84" s="44"/>
      <c r="AJ84" s="44"/>
      <c r="AK84" s="44"/>
      <c r="AL84" s="44"/>
      <c r="AM84" s="44"/>
      <c r="AN84" s="44"/>
      <c r="AO84" s="44"/>
      <c r="AP84" s="44"/>
      <c r="AQ84" s="44"/>
      <c r="AR84" s="44"/>
      <c r="AS84" s="44">
        <f>AS62</f>
        <v>3279840</v>
      </c>
      <c r="AT84" s="44">
        <f>AT62</f>
        <v>3349468</v>
      </c>
      <c r="AU84" s="44"/>
      <c r="AV84" s="44"/>
      <c r="AW84" s="44"/>
      <c r="AX84" s="44"/>
      <c r="AY84" s="44"/>
      <c r="AZ84" s="44"/>
      <c r="BA84" s="44"/>
      <c r="BB84" s="44"/>
      <c r="BC84" s="44"/>
      <c r="BD84" s="44"/>
      <c r="BE84" s="44"/>
      <c r="BF84" s="44"/>
      <c r="BG84" s="44"/>
      <c r="BH84" s="44"/>
      <c r="BI84" s="44"/>
      <c r="BJ84" s="44"/>
      <c r="BK84" s="44"/>
      <c r="BL84" s="44"/>
      <c r="BM84" s="44"/>
      <c r="BN84" s="44"/>
      <c r="BO84" s="44"/>
      <c r="BP84" s="44"/>
      <c r="BQ84" s="44"/>
      <c r="BR84" s="44"/>
      <c r="BT84" s="44"/>
      <c r="BU84" s="44"/>
      <c r="BV84" s="44"/>
      <c r="BW84" s="44"/>
      <c r="BX84" s="44"/>
      <c r="BZ84" s="44"/>
      <c r="CA84" s="44"/>
      <c r="CB84" s="44"/>
      <c r="CC84" s="44"/>
      <c r="CD84" s="44"/>
      <c r="CF84" s="44"/>
      <c r="CG84" s="44"/>
      <c r="CH84" s="44"/>
      <c r="CI84" s="44"/>
      <c r="CJ84" s="44"/>
      <c r="CL84" s="44"/>
      <c r="CM84" s="44"/>
    </row>
    <row r="85" spans="2:91" ht="12" x14ac:dyDescent="0.3">
      <c r="C85" s="36"/>
      <c r="D85" s="36"/>
      <c r="E85" s="36"/>
      <c r="F85" s="36"/>
      <c r="G85" s="42"/>
      <c r="H85" s="42"/>
      <c r="I85" s="36"/>
      <c r="J85" s="36"/>
      <c r="K85" s="36"/>
      <c r="L85" s="36"/>
      <c r="M85" s="42"/>
      <c r="N85" s="42"/>
      <c r="O85" s="36"/>
      <c r="P85" s="36"/>
      <c r="Q85" s="36"/>
      <c r="R85" s="36"/>
      <c r="S85" s="42"/>
      <c r="T85" s="42"/>
      <c r="U85" s="36"/>
      <c r="V85" s="36"/>
      <c r="W85" s="36"/>
      <c r="X85" s="36"/>
      <c r="AD85" s="53">
        <v>2541191</v>
      </c>
      <c r="AE85" s="53"/>
      <c r="AF85" s="53"/>
      <c r="AG85" s="53"/>
      <c r="AH85" s="53"/>
      <c r="AI85" s="53"/>
      <c r="AJ85" s="53"/>
      <c r="AK85" s="53"/>
      <c r="AL85" s="53"/>
      <c r="AM85" s="53"/>
      <c r="AN85" s="53"/>
      <c r="AO85" s="53"/>
      <c r="AP85" s="53"/>
      <c r="AQ85" s="53"/>
      <c r="AR85" s="53"/>
      <c r="AS85" s="83">
        <v>3244518.1</v>
      </c>
      <c r="AT85" s="83">
        <v>3375358</v>
      </c>
      <c r="AU85" s="83"/>
      <c r="AV85" s="84"/>
      <c r="AW85" s="84"/>
      <c r="AX85" s="84"/>
      <c r="AY85" s="84"/>
      <c r="AZ85" s="84"/>
      <c r="BA85" s="84"/>
      <c r="BB85" s="84"/>
      <c r="BC85" s="84"/>
      <c r="BD85" s="84"/>
      <c r="BE85" s="84"/>
      <c r="BF85" s="84"/>
      <c r="BG85" s="84"/>
      <c r="BH85" s="84"/>
      <c r="BI85" s="84"/>
      <c r="BJ85" s="84"/>
      <c r="BK85" s="84"/>
      <c r="BL85" s="84"/>
      <c r="BM85" s="84"/>
      <c r="BN85" s="84"/>
      <c r="BO85" s="84"/>
      <c r="BP85" s="84"/>
      <c r="BQ85" s="84"/>
      <c r="BR85" s="84"/>
      <c r="BT85" s="84"/>
      <c r="BU85" s="84"/>
      <c r="BV85" s="84"/>
      <c r="BW85" s="84"/>
      <c r="BX85" s="84"/>
      <c r="BZ85" s="84"/>
      <c r="CA85" s="84"/>
      <c r="CB85" s="84"/>
      <c r="CC85" s="84"/>
      <c r="CD85" s="84"/>
      <c r="CF85" s="84"/>
      <c r="CG85" s="84"/>
      <c r="CH85" s="84"/>
      <c r="CI85" s="84"/>
      <c r="CJ85" s="84"/>
      <c r="CL85" s="84"/>
      <c r="CM85" s="84"/>
    </row>
    <row r="86" spans="2:91" ht="12" x14ac:dyDescent="0.3">
      <c r="AD86" s="85">
        <f>AD85-AD84</f>
        <v>22310</v>
      </c>
      <c r="AE86" s="85"/>
      <c r="AF86" s="85"/>
      <c r="AG86" s="85"/>
      <c r="AH86" s="85"/>
      <c r="AI86" s="85"/>
      <c r="AJ86" s="85"/>
      <c r="AK86" s="85"/>
      <c r="AL86" s="85"/>
      <c r="AM86" s="85"/>
      <c r="AN86" s="85"/>
      <c r="AO86" s="85"/>
      <c r="AP86" s="85"/>
      <c r="AQ86" s="85"/>
      <c r="AR86" s="85"/>
      <c r="AS86" s="85">
        <f>AS85-AS84</f>
        <v>-35321.899999999907</v>
      </c>
      <c r="AT86" s="85">
        <f>AT85-AT84</f>
        <v>25890</v>
      </c>
      <c r="AU86" s="85"/>
      <c r="AV86" s="85"/>
      <c r="AW86" s="85"/>
      <c r="AX86" s="85"/>
      <c r="AY86" s="85"/>
      <c r="AZ86" s="85"/>
      <c r="BA86" s="85"/>
      <c r="BB86" s="85"/>
      <c r="BC86" s="85"/>
      <c r="BD86" s="85"/>
      <c r="BE86" s="85"/>
      <c r="BF86" s="85"/>
      <c r="BG86" s="85"/>
      <c r="BH86" s="85"/>
      <c r="BI86" s="85"/>
      <c r="BJ86" s="85"/>
      <c r="BK86" s="85"/>
      <c r="BL86" s="85"/>
      <c r="BM86" s="85"/>
      <c r="BN86" s="85"/>
      <c r="BO86" s="85"/>
      <c r="BP86" s="85"/>
      <c r="BQ86" s="85"/>
      <c r="BR86" s="85"/>
      <c r="BT86" s="85"/>
      <c r="BU86" s="85"/>
      <c r="BV86" s="85"/>
      <c r="BW86" s="85"/>
      <c r="BX86" s="85"/>
      <c r="BZ86" s="85"/>
      <c r="CA86" s="85"/>
      <c r="CB86" s="85"/>
      <c r="CC86" s="85"/>
      <c r="CD86" s="85"/>
      <c r="CF86" s="85"/>
      <c r="CG86" s="85"/>
      <c r="CH86" s="85"/>
      <c r="CI86" s="85"/>
      <c r="CJ86" s="85"/>
      <c r="CL86" s="85"/>
      <c r="CM86" s="85"/>
    </row>
  </sheetData>
  <hyperlinks>
    <hyperlink ref="A1" location="Índice!A1" display="Regreso al índice" xr:uid="{F03C0C64-8306-4112-AABB-4406ECA0D060}"/>
  </hyperlinks>
  <pageMargins left="0.7" right="0.7" top="0.75" bottom="0.75" header="0.3" footer="0.3"/>
  <pageSetup orientation="portrait" horizontalDpi="1200" verticalDpi="1200"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3C841D-1CD2-4C3B-8E0E-D67938DC1EF6}">
  <dimension ref="A1:CA74"/>
  <sheetViews>
    <sheetView zoomScale="110" zoomScaleNormal="110" workbookViewId="0">
      <pane xSplit="2" ySplit="3" topLeftCell="BJ4" activePane="bottomRight" state="frozen"/>
      <selection activeCell="BW70" sqref="BW70"/>
      <selection pane="topRight" activeCell="BW70" sqref="BW70"/>
      <selection pane="bottomLeft" activeCell="BW70" sqref="BW70"/>
      <selection pane="bottomRight" activeCell="BY3" sqref="BY3"/>
    </sheetView>
  </sheetViews>
  <sheetFormatPr baseColWidth="10" defaultColWidth="10.54296875" defaultRowHeight="12" outlineLevelCol="1" x14ac:dyDescent="0.3"/>
  <cols>
    <col min="1" max="1" width="2.453125" style="23" customWidth="1"/>
    <col min="2" max="2" width="33" style="23" bestFit="1" customWidth="1"/>
    <col min="3" max="5" width="11.453125" style="23" hidden="1" customWidth="1" outlineLevel="1"/>
    <col min="6" max="6" width="11.453125" style="23" customWidth="1" collapsed="1"/>
    <col min="7" max="7" width="11.453125" style="23" customWidth="1"/>
    <col min="8" max="10" width="11.453125" style="23" hidden="1" customWidth="1" outlineLevel="1"/>
    <col min="11" max="11" width="11.453125" style="23" customWidth="1" collapsed="1"/>
    <col min="12" max="12" width="11.453125" style="23" customWidth="1"/>
    <col min="13" max="15" width="11.453125" style="23" hidden="1" customWidth="1" outlineLevel="1"/>
    <col min="16" max="16" width="11.453125" style="23" customWidth="1" collapsed="1"/>
    <col min="17" max="17" width="11.453125" style="23" customWidth="1"/>
    <col min="18" max="20" width="11.453125" style="23" hidden="1" customWidth="1" outlineLevel="1"/>
    <col min="21" max="21" width="11.453125" style="23" customWidth="1" collapsed="1"/>
    <col min="22" max="22" width="11.453125" style="23" customWidth="1"/>
    <col min="23" max="25" width="11.453125" style="23" hidden="1" customWidth="1" outlineLevel="1"/>
    <col min="26" max="26" width="11.453125" style="23" customWidth="1" collapsed="1"/>
    <col min="27" max="27" width="11.453125" style="23" customWidth="1"/>
    <col min="28" max="30" width="11.453125" style="23" hidden="1" customWidth="1" outlineLevel="1"/>
    <col min="31" max="31" width="11.453125" style="23" customWidth="1" collapsed="1"/>
    <col min="32" max="32" width="11.453125" style="23" customWidth="1"/>
    <col min="33" max="35" width="11.453125" style="23" hidden="1" customWidth="1" outlineLevel="1"/>
    <col min="36" max="36" width="11.453125" style="23" customWidth="1" collapsed="1"/>
    <col min="37" max="37" width="11.453125" style="23" customWidth="1"/>
    <col min="38" max="40" width="11.453125" style="23" hidden="1" customWidth="1" outlineLevel="1"/>
    <col min="41" max="41" width="11.453125" style="23" customWidth="1" collapsed="1"/>
    <col min="42" max="42" width="11.453125" style="23" customWidth="1"/>
    <col min="43" max="45" width="11.453125" style="23" hidden="1" customWidth="1" outlineLevel="1"/>
    <col min="46" max="46" width="11.453125" style="23" customWidth="1" collapsed="1"/>
    <col min="47" max="47" width="11.453125" style="23" customWidth="1"/>
    <col min="48" max="50" width="11.453125" style="23" hidden="1" customWidth="1" outlineLevel="1"/>
    <col min="51" max="51" width="11.453125" style="23" customWidth="1" collapsed="1"/>
    <col min="52" max="52" width="11.453125" style="23" customWidth="1"/>
    <col min="53" max="55" width="11.453125" style="23" hidden="1" customWidth="1" outlineLevel="1"/>
    <col min="56" max="56" width="11.453125" style="23" customWidth="1" collapsed="1"/>
    <col min="57" max="57" width="11.453125" style="23" customWidth="1"/>
    <col min="58" max="60" width="11.453125" style="23" hidden="1" customWidth="1" outlineLevel="1"/>
    <col min="61" max="61" width="11.453125" style="23" customWidth="1" collapsed="1"/>
    <col min="62" max="62" width="11.453125" style="23" customWidth="1"/>
    <col min="63" max="65" width="11.453125" style="23" hidden="1" customWidth="1" outlineLevel="1"/>
    <col min="66" max="66" width="11.453125" style="23" customWidth="1" collapsed="1"/>
    <col min="67" max="67" width="11.453125" style="23" customWidth="1"/>
    <col min="68" max="70" width="11.453125" style="23" hidden="1" customWidth="1" outlineLevel="1"/>
    <col min="71" max="71" width="11.453125" style="23" customWidth="1" collapsed="1"/>
    <col min="72" max="76" width="11.453125" style="23" customWidth="1"/>
    <col min="77" max="16384" width="10.54296875" style="23"/>
  </cols>
  <sheetData>
    <row r="1" spans="1:79" x14ac:dyDescent="0.3">
      <c r="A1" s="130" t="s">
        <v>252</v>
      </c>
      <c r="N1" s="46"/>
      <c r="AR1" s="46"/>
      <c r="AS1" s="46"/>
      <c r="AW1" s="46"/>
      <c r="AX1" s="46"/>
    </row>
    <row r="2" spans="1:79" ht="12.5" thickBot="1" x14ac:dyDescent="0.35">
      <c r="N2" s="46"/>
      <c r="AR2" s="46"/>
      <c r="AS2" s="46"/>
      <c r="AW2" s="46"/>
      <c r="AX2" s="46"/>
    </row>
    <row r="3" spans="1:79" customFormat="1" ht="15.5" thickTop="1" thickBot="1" x14ac:dyDescent="0.4">
      <c r="A3" s="29"/>
      <c r="B3" s="31" t="s">
        <v>127</v>
      </c>
      <c r="C3" s="32" t="s">
        <v>198</v>
      </c>
      <c r="D3" s="32" t="s">
        <v>202</v>
      </c>
      <c r="E3" s="32" t="s">
        <v>205</v>
      </c>
      <c r="F3" s="34">
        <v>2011</v>
      </c>
      <c r="G3" s="166" t="s">
        <v>366</v>
      </c>
      <c r="H3" s="32" t="s">
        <v>199</v>
      </c>
      <c r="I3" s="32" t="s">
        <v>203</v>
      </c>
      <c r="J3" s="32" t="s">
        <v>206</v>
      </c>
      <c r="K3" s="34">
        <v>2012</v>
      </c>
      <c r="L3" s="166" t="s">
        <v>367</v>
      </c>
      <c r="M3" s="32" t="s">
        <v>200</v>
      </c>
      <c r="N3" s="32" t="s">
        <v>204</v>
      </c>
      <c r="O3" s="32" t="s">
        <v>207</v>
      </c>
      <c r="P3" s="34">
        <v>2013</v>
      </c>
      <c r="Q3" s="164" t="s">
        <v>368</v>
      </c>
      <c r="R3" s="33" t="s">
        <v>201</v>
      </c>
      <c r="S3" s="33" t="s">
        <v>20</v>
      </c>
      <c r="T3" s="33" t="s">
        <v>19</v>
      </c>
      <c r="U3" s="34">
        <v>2014</v>
      </c>
      <c r="V3" s="164" t="s">
        <v>369</v>
      </c>
      <c r="W3" s="33" t="s">
        <v>17</v>
      </c>
      <c r="X3" s="33" t="s">
        <v>16</v>
      </c>
      <c r="Y3" s="33" t="s">
        <v>15</v>
      </c>
      <c r="Z3" s="34">
        <v>2015</v>
      </c>
      <c r="AA3" s="164" t="s">
        <v>370</v>
      </c>
      <c r="AB3" s="33" t="s">
        <v>13</v>
      </c>
      <c r="AC3" s="33" t="s">
        <v>12</v>
      </c>
      <c r="AD3" s="33" t="s">
        <v>11</v>
      </c>
      <c r="AE3" s="34">
        <v>2016</v>
      </c>
      <c r="AF3" s="164" t="s">
        <v>371</v>
      </c>
      <c r="AG3" s="33" t="s">
        <v>9</v>
      </c>
      <c r="AH3" s="33" t="s">
        <v>8</v>
      </c>
      <c r="AI3" s="33" t="s">
        <v>29</v>
      </c>
      <c r="AJ3" s="35">
        <v>2017</v>
      </c>
      <c r="AK3" s="165" t="s">
        <v>372</v>
      </c>
      <c r="AL3" s="33" t="s">
        <v>7</v>
      </c>
      <c r="AM3" s="33" t="s">
        <v>6</v>
      </c>
      <c r="AN3" s="33" t="s">
        <v>5</v>
      </c>
      <c r="AO3" s="34">
        <v>2018</v>
      </c>
      <c r="AP3" s="164" t="s">
        <v>373</v>
      </c>
      <c r="AQ3" s="33" t="s">
        <v>3</v>
      </c>
      <c r="AR3" s="33" t="s">
        <v>2</v>
      </c>
      <c r="AS3" s="33" t="s">
        <v>1</v>
      </c>
      <c r="AT3" s="34">
        <v>2019</v>
      </c>
      <c r="AU3" s="164" t="s">
        <v>374</v>
      </c>
      <c r="AV3" s="33" t="s">
        <v>283</v>
      </c>
      <c r="AW3" s="33" t="s">
        <v>284</v>
      </c>
      <c r="AX3" s="33" t="s">
        <v>285</v>
      </c>
      <c r="AY3" s="34">
        <v>2020</v>
      </c>
      <c r="AZ3" s="164" t="s">
        <v>375</v>
      </c>
      <c r="BA3" s="33" t="s">
        <v>302</v>
      </c>
      <c r="BB3" s="33" t="s">
        <v>305</v>
      </c>
      <c r="BC3" s="33" t="s">
        <v>310</v>
      </c>
      <c r="BD3" s="34">
        <v>2021</v>
      </c>
      <c r="BE3" s="164" t="s">
        <v>337</v>
      </c>
      <c r="BF3" s="33" t="s">
        <v>318</v>
      </c>
      <c r="BG3" s="33" t="s">
        <v>329</v>
      </c>
      <c r="BH3" s="33" t="s">
        <v>332</v>
      </c>
      <c r="BI3" s="34">
        <v>2022</v>
      </c>
      <c r="BJ3" s="164" t="s">
        <v>362</v>
      </c>
      <c r="BK3" s="33" t="s">
        <v>361</v>
      </c>
      <c r="BL3" s="33" t="s">
        <v>363</v>
      </c>
      <c r="BM3" s="33" t="s">
        <v>364</v>
      </c>
      <c r="BN3" s="34">
        <v>2023</v>
      </c>
      <c r="BO3" s="164" t="s">
        <v>399</v>
      </c>
      <c r="BP3" s="33" t="s">
        <v>395</v>
      </c>
      <c r="BQ3" s="33" t="s">
        <v>396</v>
      </c>
      <c r="BR3" s="33" t="s">
        <v>397</v>
      </c>
      <c r="BS3" s="34">
        <v>2024</v>
      </c>
      <c r="BT3" s="164" t="s">
        <v>416</v>
      </c>
      <c r="BU3" s="33" t="s">
        <v>415</v>
      </c>
      <c r="BV3" s="33" t="s">
        <v>417</v>
      </c>
      <c r="BW3" s="33" t="s">
        <v>418</v>
      </c>
      <c r="BX3" s="34">
        <v>2025</v>
      </c>
    </row>
    <row r="4" spans="1:79" ht="5.9" customHeight="1" thickTop="1" x14ac:dyDescent="0.3">
      <c r="B4" s="47"/>
      <c r="C4" s="48"/>
      <c r="D4" s="48"/>
      <c r="E4" s="48"/>
      <c r="F4" s="49"/>
      <c r="G4" s="49"/>
      <c r="H4" s="48"/>
      <c r="I4" s="48"/>
      <c r="J4" s="48"/>
      <c r="K4" s="49"/>
      <c r="L4" s="49"/>
      <c r="M4" s="48"/>
      <c r="N4" s="48"/>
      <c r="O4" s="48"/>
      <c r="P4" s="49"/>
      <c r="Q4" s="49"/>
      <c r="R4" s="50"/>
      <c r="S4" s="50"/>
      <c r="T4" s="47"/>
      <c r="W4" s="50"/>
      <c r="X4" s="50"/>
      <c r="Y4" s="50"/>
      <c r="AB4" s="50"/>
      <c r="AC4" s="50"/>
      <c r="AD4" s="50"/>
      <c r="AG4" s="50"/>
      <c r="AH4" s="50"/>
      <c r="AI4" s="50"/>
      <c r="AL4" s="50"/>
      <c r="AM4" s="50"/>
      <c r="AN4" s="50"/>
      <c r="AQ4" s="50"/>
      <c r="AV4" s="50"/>
      <c r="BA4" s="50"/>
      <c r="BB4" s="50"/>
      <c r="BC4" s="50"/>
      <c r="BD4" s="50"/>
      <c r="BE4" s="50"/>
      <c r="BF4" s="50"/>
      <c r="BG4" s="50"/>
      <c r="BH4" s="50"/>
      <c r="BI4" s="50"/>
      <c r="BJ4" s="50"/>
      <c r="BK4" s="50"/>
      <c r="BL4" s="50"/>
      <c r="BM4" s="50"/>
      <c r="BN4" s="50"/>
      <c r="BO4" s="50"/>
      <c r="BP4" s="50"/>
      <c r="BQ4" s="50"/>
      <c r="BR4" s="50"/>
      <c r="BS4" s="50"/>
      <c r="BT4" s="50"/>
      <c r="BU4" s="50"/>
      <c r="BV4" s="50"/>
      <c r="BW4" s="50"/>
      <c r="BX4" s="50"/>
    </row>
    <row r="5" spans="1:79" x14ac:dyDescent="0.3">
      <c r="B5" s="51" t="s">
        <v>106</v>
      </c>
      <c r="C5" s="36"/>
      <c r="D5" s="36"/>
      <c r="E5" s="36"/>
      <c r="F5" s="42"/>
      <c r="G5" s="42"/>
      <c r="H5" s="36"/>
      <c r="I5" s="36"/>
      <c r="J5" s="36"/>
      <c r="K5" s="42"/>
      <c r="L5" s="42"/>
      <c r="M5" s="36"/>
      <c r="N5" s="36"/>
      <c r="O5" s="36"/>
      <c r="P5" s="42"/>
      <c r="Q5" s="42"/>
      <c r="R5" s="36"/>
      <c r="S5" s="36"/>
      <c r="T5" s="36"/>
      <c r="U5" s="42"/>
      <c r="V5" s="42"/>
      <c r="W5" s="36"/>
      <c r="X5" s="36"/>
      <c r="Y5" s="36"/>
      <c r="Z5" s="42"/>
      <c r="AA5" s="42"/>
      <c r="AB5" s="36"/>
      <c r="AC5" s="36"/>
      <c r="AD5" s="36"/>
      <c r="AE5" s="42"/>
      <c r="AF5" s="42"/>
      <c r="AG5" s="36"/>
      <c r="AH5" s="36"/>
      <c r="AI5" s="36"/>
      <c r="AJ5" s="42"/>
      <c r="AK5" s="42"/>
      <c r="AL5" s="36"/>
      <c r="AM5" s="36"/>
      <c r="AN5" s="36"/>
      <c r="AO5" s="42"/>
      <c r="AP5" s="42"/>
      <c r="AQ5" s="36"/>
      <c r="AT5" s="42"/>
      <c r="AU5" s="42"/>
      <c r="AV5" s="36"/>
      <c r="AY5" s="42"/>
      <c r="AZ5" s="42"/>
      <c r="BA5" s="36"/>
      <c r="BB5" s="36"/>
      <c r="BC5" s="36"/>
      <c r="BD5" s="36"/>
      <c r="BE5" s="36"/>
      <c r="BF5" s="36"/>
      <c r="BG5" s="36"/>
      <c r="BH5" s="36"/>
      <c r="BI5" s="36"/>
      <c r="BJ5" s="36"/>
      <c r="BK5" s="36"/>
      <c r="BL5" s="36"/>
      <c r="BM5" s="36"/>
      <c r="BN5" s="36"/>
      <c r="BO5" s="36"/>
      <c r="BP5" s="36"/>
      <c r="BQ5" s="36"/>
      <c r="BR5" s="36"/>
      <c r="BS5" s="36"/>
      <c r="BT5" s="36"/>
      <c r="BU5" s="36"/>
      <c r="BV5" s="36"/>
      <c r="BW5" s="36"/>
      <c r="BX5" s="36"/>
    </row>
    <row r="6" spans="1:79" x14ac:dyDescent="0.3">
      <c r="B6" s="23" t="s">
        <v>288</v>
      </c>
      <c r="C6" s="52">
        <v>2855681.1</v>
      </c>
      <c r="D6" s="52">
        <v>496437.27899999998</v>
      </c>
      <c r="E6" s="52">
        <v>254167.91499999998</v>
      </c>
      <c r="F6" s="52">
        <v>257071.12599999999</v>
      </c>
      <c r="G6" s="52">
        <v>257071.12599999999</v>
      </c>
      <c r="H6" s="52">
        <v>7347145.4550000001</v>
      </c>
      <c r="I6" s="52">
        <v>4176626.568</v>
      </c>
      <c r="J6" s="52">
        <v>2481559.5550000002</v>
      </c>
      <c r="K6" s="52">
        <v>2047712</v>
      </c>
      <c r="L6" s="52">
        <v>2047712</v>
      </c>
      <c r="M6" s="36">
        <v>21153121</v>
      </c>
      <c r="N6" s="36">
        <f>((446690)+77012)+18084432</f>
        <v>18608134</v>
      </c>
      <c r="O6" s="36">
        <f>((540949)+108144)+15174430</f>
        <v>15823523</v>
      </c>
      <c r="P6" s="36">
        <v>2088434</v>
      </c>
      <c r="Q6" s="36">
        <v>2088434</v>
      </c>
      <c r="R6" s="36">
        <v>1321703</v>
      </c>
      <c r="S6" s="36">
        <v>30450513</v>
      </c>
      <c r="T6" s="36">
        <v>24943725</v>
      </c>
      <c r="U6" s="36">
        <v>20029294</v>
      </c>
      <c r="V6" s="36">
        <v>20029294</v>
      </c>
      <c r="W6" s="36">
        <v>27166148</v>
      </c>
      <c r="X6" s="36">
        <v>7929940</v>
      </c>
      <c r="Y6" s="36">
        <v>5168961</v>
      </c>
      <c r="Z6" s="36">
        <v>8296514</v>
      </c>
      <c r="AA6" s="36">
        <v>8296514</v>
      </c>
      <c r="AB6" s="36">
        <v>7762826</v>
      </c>
      <c r="AC6" s="36">
        <v>10766648</v>
      </c>
      <c r="AD6" s="36">
        <v>7683023</v>
      </c>
      <c r="AE6" s="36">
        <v>7510221</v>
      </c>
      <c r="AF6" s="36">
        <v>7510221</v>
      </c>
      <c r="AG6" s="36">
        <v>4925762</v>
      </c>
      <c r="AH6" s="36">
        <v>3993449</v>
      </c>
      <c r="AI6" s="36">
        <v>3380142</v>
      </c>
      <c r="AJ6" s="36">
        <v>5634448</v>
      </c>
      <c r="AK6" s="36">
        <v>5634448</v>
      </c>
      <c r="AL6" s="36">
        <v>3749858</v>
      </c>
      <c r="AM6" s="36">
        <f>((1444553+1960886)+98501)+0</f>
        <v>3503940</v>
      </c>
      <c r="AN6" s="36">
        <v>6014561</v>
      </c>
      <c r="AO6" s="36">
        <v>4408926</v>
      </c>
      <c r="AP6" s="36">
        <v>4408926</v>
      </c>
      <c r="AQ6" s="54">
        <f>((1178880+1876434)+286104)+0</f>
        <v>3341418</v>
      </c>
      <c r="AR6" s="52">
        <f>((15435123+2466814)+250397)+0</f>
        <v>18152334</v>
      </c>
      <c r="AS6" s="52">
        <v>13723073</v>
      </c>
      <c r="AT6" s="36">
        <v>3042914</v>
      </c>
      <c r="AU6" s="36">
        <v>3042914</v>
      </c>
      <c r="AV6" s="54">
        <v>4068954</v>
      </c>
      <c r="AW6" s="52">
        <v>14857313</v>
      </c>
      <c r="AX6" s="52">
        <v>18373936</v>
      </c>
      <c r="AY6" s="36">
        <v>7746593</v>
      </c>
      <c r="AZ6" s="36">
        <v>7746593</v>
      </c>
      <c r="BA6" s="54">
        <v>4820260</v>
      </c>
      <c r="BB6" s="54">
        <v>3713816</v>
      </c>
      <c r="BC6" s="54">
        <v>3502365</v>
      </c>
      <c r="BD6" s="54">
        <v>6739511</v>
      </c>
      <c r="BE6" s="54">
        <v>6739511</v>
      </c>
      <c r="BF6" s="54">
        <v>4336725</v>
      </c>
      <c r="BG6" s="54">
        <v>5258079</v>
      </c>
      <c r="BH6" s="54">
        <v>4878639</v>
      </c>
      <c r="BI6" s="54">
        <v>6887111</v>
      </c>
      <c r="BJ6" s="54">
        <v>6887111</v>
      </c>
      <c r="BK6" s="54">
        <v>3071916</v>
      </c>
      <c r="BL6" s="54">
        <v>4374768</v>
      </c>
      <c r="BM6" s="54">
        <v>2663601</v>
      </c>
      <c r="BN6" s="54">
        <v>2826642</v>
      </c>
      <c r="BO6" s="54">
        <v>2826642</v>
      </c>
      <c r="BP6" s="54">
        <v>1793657</v>
      </c>
      <c r="BQ6" s="54">
        <v>4682016</v>
      </c>
      <c r="BR6" s="54">
        <v>2668434</v>
      </c>
      <c r="BS6" s="54">
        <v>4518601</v>
      </c>
      <c r="BT6" s="54">
        <v>4518601</v>
      </c>
      <c r="BU6" s="54">
        <v>2008573</v>
      </c>
      <c r="BV6" s="54">
        <v>4197118</v>
      </c>
      <c r="BW6" s="54">
        <v>2870929</v>
      </c>
      <c r="BX6" s="54">
        <v>13721823</v>
      </c>
      <c r="CA6" s="45"/>
    </row>
    <row r="7" spans="1:79" x14ac:dyDescent="0.3">
      <c r="A7" s="51"/>
      <c r="B7" s="23" t="s">
        <v>107</v>
      </c>
      <c r="C7" s="54">
        <v>12739.789000000001</v>
      </c>
      <c r="D7" s="54">
        <v>59731.845999999998</v>
      </c>
      <c r="E7" s="54">
        <v>61892.555999999997</v>
      </c>
      <c r="F7" s="54">
        <v>68881.77</v>
      </c>
      <c r="G7" s="54">
        <v>68881.77</v>
      </c>
      <c r="H7" s="54">
        <v>75015.625</v>
      </c>
      <c r="I7" s="54">
        <v>83056.320999999996</v>
      </c>
      <c r="J7" s="54">
        <v>158108.82999999999</v>
      </c>
      <c r="K7" s="54">
        <v>158771</v>
      </c>
      <c r="L7" s="54">
        <v>157761</v>
      </c>
      <c r="M7" s="54">
        <v>189661</v>
      </c>
      <c r="N7" s="54">
        <v>217212</v>
      </c>
      <c r="O7" s="54">
        <v>342443</v>
      </c>
      <c r="P7" s="54">
        <v>732448</v>
      </c>
      <c r="Q7" s="54">
        <v>523909</v>
      </c>
      <c r="R7" s="54">
        <v>720206</v>
      </c>
      <c r="S7" s="54">
        <v>1279425</v>
      </c>
      <c r="T7" s="54">
        <v>1343224</v>
      </c>
      <c r="U7" s="54">
        <f>663503+100220</f>
        <v>763723</v>
      </c>
      <c r="V7" s="54">
        <v>663503</v>
      </c>
      <c r="W7" s="54">
        <v>907260</v>
      </c>
      <c r="X7" s="54">
        <v>817251</v>
      </c>
      <c r="Y7" s="54">
        <f>903624+55379</f>
        <v>959003</v>
      </c>
      <c r="Z7" s="54">
        <v>713013</v>
      </c>
      <c r="AA7" s="54">
        <v>751346</v>
      </c>
      <c r="AB7" s="54">
        <v>856678</v>
      </c>
      <c r="AC7" s="54">
        <v>1003036</v>
      </c>
      <c r="AD7" s="54">
        <v>1066254</v>
      </c>
      <c r="AE7" s="54">
        <v>990594</v>
      </c>
      <c r="AF7" s="54">
        <v>990594</v>
      </c>
      <c r="AG7" s="54">
        <v>1195726</v>
      </c>
      <c r="AH7" s="54">
        <v>1221790</v>
      </c>
      <c r="AI7" s="54">
        <f>1346650-164779</f>
        <v>1181871</v>
      </c>
      <c r="AJ7" s="54">
        <v>1449060</v>
      </c>
      <c r="AK7" s="54">
        <v>1449060</v>
      </c>
      <c r="AL7" s="54">
        <f>1371971</f>
        <v>1371971</v>
      </c>
      <c r="AM7" s="54">
        <v>1584779</v>
      </c>
      <c r="AN7" s="54">
        <v>1378461</v>
      </c>
      <c r="AO7" s="54">
        <v>1308157</v>
      </c>
      <c r="AP7" s="54">
        <v>1308157</v>
      </c>
      <c r="AQ7" s="54">
        <v>1668456</v>
      </c>
      <c r="AR7" s="52">
        <v>1728690</v>
      </c>
      <c r="AS7" s="52">
        <v>1648810</v>
      </c>
      <c r="AT7" s="54">
        <v>1488232</v>
      </c>
      <c r="AU7" s="54">
        <v>1488232</v>
      </c>
      <c r="AV7" s="54">
        <v>1958195</v>
      </c>
      <c r="AW7" s="52">
        <v>2289301</v>
      </c>
      <c r="AX7" s="52">
        <v>2268517</v>
      </c>
      <c r="AY7" s="54">
        <v>1612370</v>
      </c>
      <c r="AZ7" s="54">
        <v>1612370</v>
      </c>
      <c r="BA7" s="54">
        <v>2265196</v>
      </c>
      <c r="BB7" s="54">
        <v>2193753</v>
      </c>
      <c r="BC7" s="54">
        <v>2693235</v>
      </c>
      <c r="BD7" s="54">
        <v>2323542</v>
      </c>
      <c r="BE7" s="54">
        <v>2323542</v>
      </c>
      <c r="BF7" s="54">
        <v>2731552</v>
      </c>
      <c r="BG7" s="54">
        <v>2707080</v>
      </c>
      <c r="BH7" s="54">
        <v>2767296</v>
      </c>
      <c r="BI7" s="54">
        <v>2851632</v>
      </c>
      <c r="BJ7" s="54">
        <v>2851632</v>
      </c>
      <c r="BK7" s="54">
        <v>2871394</v>
      </c>
      <c r="BL7" s="54">
        <v>2995155</v>
      </c>
      <c r="BM7" s="54">
        <v>3176406</v>
      </c>
      <c r="BN7" s="54">
        <v>3537159</v>
      </c>
      <c r="BO7" s="54">
        <v>3537159</v>
      </c>
      <c r="BP7" s="54">
        <v>3634836</v>
      </c>
      <c r="BQ7" s="54">
        <v>2686046</v>
      </c>
      <c r="BR7" s="54">
        <v>2705921</v>
      </c>
      <c r="BS7" s="54">
        <v>2662815</v>
      </c>
      <c r="BT7" s="54">
        <v>2662814</v>
      </c>
      <c r="BU7" s="54">
        <v>2458257</v>
      </c>
      <c r="BV7" s="54">
        <v>2408549</v>
      </c>
      <c r="BW7" s="54">
        <v>2391308</v>
      </c>
      <c r="BX7" s="54">
        <v>2131587</v>
      </c>
      <c r="CA7" s="45"/>
    </row>
    <row r="8" spans="1:79" x14ac:dyDescent="0.3">
      <c r="B8" s="23" t="s">
        <v>109</v>
      </c>
      <c r="C8" s="55">
        <v>0</v>
      </c>
      <c r="D8" s="55">
        <v>0</v>
      </c>
      <c r="E8" s="55">
        <v>0</v>
      </c>
      <c r="F8" s="55">
        <v>0</v>
      </c>
      <c r="G8" s="55">
        <v>0</v>
      </c>
      <c r="H8" s="55">
        <v>0</v>
      </c>
      <c r="I8" s="55">
        <v>0</v>
      </c>
      <c r="J8" s="55">
        <v>0</v>
      </c>
      <c r="K8" s="55">
        <v>11278</v>
      </c>
      <c r="L8" s="55">
        <v>1010</v>
      </c>
      <c r="M8" s="55">
        <v>5017</v>
      </c>
      <c r="N8" s="55">
        <v>7884</v>
      </c>
      <c r="O8" s="55">
        <v>226173</v>
      </c>
      <c r="P8" s="55">
        <v>125609</v>
      </c>
      <c r="Q8" s="55">
        <v>208539</v>
      </c>
      <c r="R8" s="55">
        <v>56943</v>
      </c>
      <c r="S8" s="55">
        <v>115450</v>
      </c>
      <c r="T8" s="55">
        <v>0</v>
      </c>
      <c r="U8" s="55">
        <v>0</v>
      </c>
      <c r="V8" s="55">
        <v>100220</v>
      </c>
      <c r="W8" s="55">
        <v>0</v>
      </c>
      <c r="X8" s="55">
        <v>44150</v>
      </c>
      <c r="Y8" s="55">
        <v>0</v>
      </c>
      <c r="Z8" s="55">
        <v>84856</v>
      </c>
      <c r="AA8" s="55">
        <v>46523</v>
      </c>
      <c r="AB8" s="55">
        <v>49487</v>
      </c>
      <c r="AC8" s="55">
        <v>42598</v>
      </c>
      <c r="AD8" s="55">
        <v>41587</v>
      </c>
      <c r="AE8" s="55">
        <v>519700</v>
      </c>
      <c r="AF8" s="55">
        <v>519700</v>
      </c>
      <c r="AG8" s="55">
        <v>538151</v>
      </c>
      <c r="AH8" s="55">
        <v>833632</v>
      </c>
      <c r="AI8" s="55">
        <v>849791</v>
      </c>
      <c r="AJ8" s="55">
        <v>599750</v>
      </c>
      <c r="AK8" s="55">
        <v>599750</v>
      </c>
      <c r="AL8" s="55">
        <v>485809</v>
      </c>
      <c r="AM8" s="55">
        <v>391425</v>
      </c>
      <c r="AN8" s="55">
        <v>413259</v>
      </c>
      <c r="AO8" s="55">
        <v>419080</v>
      </c>
      <c r="AP8" s="55">
        <v>419080</v>
      </c>
      <c r="AQ8" s="55">
        <v>633837</v>
      </c>
      <c r="AR8" s="52">
        <v>698186</v>
      </c>
      <c r="AS8" s="52">
        <v>890754</v>
      </c>
      <c r="AT8" s="55">
        <v>1341626</v>
      </c>
      <c r="AU8" s="55">
        <v>1341626</v>
      </c>
      <c r="AV8" s="55">
        <v>1399158</v>
      </c>
      <c r="AW8" s="52">
        <v>1557570</v>
      </c>
      <c r="AX8" s="52">
        <v>1555340</v>
      </c>
      <c r="AY8" s="55">
        <v>1544453</v>
      </c>
      <c r="AZ8" s="55">
        <v>1544453</v>
      </c>
      <c r="BA8" s="55">
        <v>1680361</v>
      </c>
      <c r="BB8" s="55">
        <v>1649441</v>
      </c>
      <c r="BC8" s="55">
        <v>1424678</v>
      </c>
      <c r="BD8" s="55">
        <v>1801424</v>
      </c>
      <c r="BE8" s="55">
        <v>1801424</v>
      </c>
      <c r="BF8" s="55">
        <v>2115707</v>
      </c>
      <c r="BG8" s="55">
        <v>2300277</v>
      </c>
      <c r="BH8" s="54">
        <v>2503960</v>
      </c>
      <c r="BI8" s="55">
        <v>6237451</v>
      </c>
      <c r="BJ8" s="55">
        <v>6237450</v>
      </c>
      <c r="BK8" s="55">
        <v>6317551</v>
      </c>
      <c r="BL8" s="55">
        <v>1988213</v>
      </c>
      <c r="BM8" s="55">
        <v>2040375</v>
      </c>
      <c r="BN8" s="55">
        <v>1680862</v>
      </c>
      <c r="BO8" s="55">
        <v>1680862</v>
      </c>
      <c r="BP8" s="55">
        <v>1724056</v>
      </c>
      <c r="BQ8" s="55">
        <v>1914104</v>
      </c>
      <c r="BR8" s="55">
        <v>1707108</v>
      </c>
      <c r="BS8" s="54">
        <v>390269</v>
      </c>
      <c r="BT8" s="54">
        <v>390269</v>
      </c>
      <c r="BU8" s="55">
        <v>380356</v>
      </c>
      <c r="BV8" s="55">
        <v>415539</v>
      </c>
      <c r="BW8" s="55">
        <v>424369</v>
      </c>
      <c r="BX8" s="54">
        <v>383369</v>
      </c>
      <c r="CA8" s="45"/>
    </row>
    <row r="9" spans="1:79" hidden="1" x14ac:dyDescent="0.3">
      <c r="B9" s="23" t="s">
        <v>319</v>
      </c>
      <c r="C9" s="55"/>
      <c r="D9" s="55"/>
      <c r="E9" s="55"/>
      <c r="F9" s="55"/>
      <c r="G9" s="55"/>
      <c r="H9" s="55"/>
      <c r="I9" s="55"/>
      <c r="J9" s="55"/>
      <c r="K9" s="55"/>
      <c r="L9" s="55"/>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c r="AQ9" s="55"/>
      <c r="AR9" s="52"/>
      <c r="AS9" s="52"/>
      <c r="AT9" s="55"/>
      <c r="AU9" s="55"/>
      <c r="AV9" s="55"/>
      <c r="AW9" s="52"/>
      <c r="AX9" s="52"/>
      <c r="AY9" s="55"/>
      <c r="AZ9" s="55"/>
      <c r="BA9" s="55"/>
      <c r="BB9" s="55"/>
      <c r="BC9" s="55"/>
      <c r="BD9" s="55"/>
      <c r="BE9" s="55"/>
      <c r="BF9" s="55">
        <v>680000</v>
      </c>
      <c r="BG9" s="55">
        <v>327000</v>
      </c>
      <c r="BH9" s="54">
        <v>235000</v>
      </c>
      <c r="BI9" s="55">
        <v>0</v>
      </c>
      <c r="BJ9" s="55">
        <v>0</v>
      </c>
      <c r="BK9" s="55">
        <v>0</v>
      </c>
      <c r="BL9" s="55">
        <v>0</v>
      </c>
      <c r="BM9" s="55">
        <v>0</v>
      </c>
      <c r="BN9" s="184">
        <v>0</v>
      </c>
      <c r="BO9" s="184">
        <v>0</v>
      </c>
      <c r="BP9" s="55">
        <v>0</v>
      </c>
      <c r="BQ9" s="55">
        <v>0</v>
      </c>
      <c r="BR9" s="55"/>
      <c r="BS9" s="184"/>
      <c r="BT9" s="54"/>
      <c r="BV9" s="55"/>
      <c r="BW9" s="55"/>
      <c r="BX9" s="184"/>
      <c r="CA9" s="45"/>
    </row>
    <row r="10" spans="1:79" x14ac:dyDescent="0.3">
      <c r="B10" s="23" t="s">
        <v>110</v>
      </c>
      <c r="C10" s="55"/>
      <c r="D10" s="55"/>
      <c r="E10" s="55"/>
      <c r="F10" s="55">
        <v>0</v>
      </c>
      <c r="G10" s="55">
        <v>0</v>
      </c>
      <c r="H10" s="55">
        <v>0</v>
      </c>
      <c r="I10" s="55">
        <v>0</v>
      </c>
      <c r="J10" s="55">
        <v>0</v>
      </c>
      <c r="K10" s="55">
        <v>0</v>
      </c>
      <c r="L10" s="55">
        <v>0</v>
      </c>
      <c r="M10" s="55">
        <v>0</v>
      </c>
      <c r="N10" s="55">
        <v>0</v>
      </c>
      <c r="O10" s="55">
        <v>0</v>
      </c>
      <c r="P10" s="55">
        <v>0</v>
      </c>
      <c r="Q10" s="55">
        <v>0</v>
      </c>
      <c r="R10" s="55">
        <v>0</v>
      </c>
      <c r="S10" s="55">
        <v>0</v>
      </c>
      <c r="T10" s="55">
        <v>0</v>
      </c>
      <c r="U10" s="55">
        <v>0</v>
      </c>
      <c r="V10" s="55">
        <v>0</v>
      </c>
      <c r="W10" s="55">
        <v>0</v>
      </c>
      <c r="X10" s="55">
        <v>0</v>
      </c>
      <c r="Y10" s="55">
        <v>0</v>
      </c>
      <c r="Z10" s="55">
        <v>0</v>
      </c>
      <c r="AA10" s="55">
        <v>0</v>
      </c>
      <c r="AB10" s="55">
        <v>0</v>
      </c>
      <c r="AC10" s="55">
        <v>0</v>
      </c>
      <c r="AD10" s="55">
        <v>0</v>
      </c>
      <c r="AE10" s="55">
        <v>80293</v>
      </c>
      <c r="AF10" s="55">
        <v>80293</v>
      </c>
      <c r="AG10" s="55">
        <v>83914</v>
      </c>
      <c r="AH10" s="55">
        <v>147957</v>
      </c>
      <c r="AI10" s="55">
        <v>60964</v>
      </c>
      <c r="AJ10" s="55">
        <v>60512</v>
      </c>
      <c r="AK10" s="55">
        <v>60512</v>
      </c>
      <c r="AL10" s="55">
        <v>55251</v>
      </c>
      <c r="AM10" s="55">
        <v>56901</v>
      </c>
      <c r="AN10" s="55">
        <v>92373</v>
      </c>
      <c r="AO10" s="55">
        <v>53367</v>
      </c>
      <c r="AP10" s="55">
        <v>53367</v>
      </c>
      <c r="AQ10" s="55">
        <v>96537</v>
      </c>
      <c r="AR10" s="52">
        <v>7068</v>
      </c>
      <c r="AS10" s="52">
        <v>11182</v>
      </c>
      <c r="AT10" s="55">
        <v>41999</v>
      </c>
      <c r="AU10" s="55">
        <v>41999</v>
      </c>
      <c r="AV10" s="55">
        <v>31220</v>
      </c>
      <c r="AW10" s="52">
        <v>19569</v>
      </c>
      <c r="AX10" s="52">
        <v>3332</v>
      </c>
      <c r="AY10" s="55">
        <v>8478</v>
      </c>
      <c r="AZ10" s="55">
        <v>8478</v>
      </c>
      <c r="BA10" s="55">
        <v>8826</v>
      </c>
      <c r="BB10" s="55">
        <v>4414</v>
      </c>
      <c r="BC10" s="55">
        <v>4368</v>
      </c>
      <c r="BD10" s="55">
        <v>2845</v>
      </c>
      <c r="BE10" s="55">
        <v>2845</v>
      </c>
      <c r="BF10" s="55">
        <v>9074</v>
      </c>
      <c r="BG10" s="55">
        <v>9247</v>
      </c>
      <c r="BH10" s="54">
        <v>4777</v>
      </c>
      <c r="BI10" s="54">
        <v>153272</v>
      </c>
      <c r="BJ10" s="55">
        <v>153272</v>
      </c>
      <c r="BK10" s="55">
        <v>7022</v>
      </c>
      <c r="BL10" s="55">
        <v>8490</v>
      </c>
      <c r="BM10" s="55">
        <v>8381</v>
      </c>
      <c r="BN10" s="55">
        <v>25947</v>
      </c>
      <c r="BO10" s="55">
        <v>25947</v>
      </c>
      <c r="BP10" s="55">
        <v>28508</v>
      </c>
      <c r="BQ10" s="55">
        <v>26997</v>
      </c>
      <c r="BR10" s="55">
        <v>288756</v>
      </c>
      <c r="BS10" s="54">
        <v>212418</v>
      </c>
      <c r="BT10" s="54">
        <v>212419</v>
      </c>
      <c r="BU10" s="55">
        <v>416688</v>
      </c>
      <c r="BV10" s="55">
        <v>481632</v>
      </c>
      <c r="BW10" s="55">
        <v>439291</v>
      </c>
      <c r="BX10" s="54">
        <v>747370</v>
      </c>
      <c r="CA10" s="45"/>
    </row>
    <row r="11" spans="1:79" x14ac:dyDescent="0.3">
      <c r="B11" s="23" t="s">
        <v>111</v>
      </c>
      <c r="C11" s="54">
        <v>36826.402000000002</v>
      </c>
      <c r="D11" s="54">
        <v>1018963.334</v>
      </c>
      <c r="E11" s="54">
        <v>1010437.409</v>
      </c>
      <c r="F11" s="54">
        <v>471634.95299999998</v>
      </c>
      <c r="G11" s="54">
        <v>471634.95299999998</v>
      </c>
      <c r="H11" s="54">
        <v>516713.41600000003</v>
      </c>
      <c r="I11" s="54">
        <v>855928.85600000003</v>
      </c>
      <c r="J11" s="54">
        <v>1675786.2649999999</v>
      </c>
      <c r="K11" s="54">
        <v>1548019</v>
      </c>
      <c r="L11" s="54">
        <v>1548019</v>
      </c>
      <c r="M11" s="54">
        <v>1679273</v>
      </c>
      <c r="N11" s="54">
        <v>1779784</v>
      </c>
      <c r="O11" s="54">
        <v>1194788</v>
      </c>
      <c r="P11" s="54">
        <v>3736002</v>
      </c>
      <c r="Q11" s="54">
        <v>3736002</v>
      </c>
      <c r="R11" s="54">
        <v>3985057</v>
      </c>
      <c r="S11" s="54">
        <v>1697823</v>
      </c>
      <c r="T11" s="54">
        <v>2962339</v>
      </c>
      <c r="U11" s="54">
        <v>3082513</v>
      </c>
      <c r="V11" s="54">
        <v>3082513</v>
      </c>
      <c r="W11" s="54">
        <v>2540943</v>
      </c>
      <c r="X11" s="54">
        <v>4077819</v>
      </c>
      <c r="Y11" s="54">
        <v>4023532</v>
      </c>
      <c r="Z11" s="54">
        <v>4161762</v>
      </c>
      <c r="AA11" s="54">
        <v>4161762</v>
      </c>
      <c r="AB11" s="54">
        <v>2995777</v>
      </c>
      <c r="AC11" s="54">
        <v>3015988</v>
      </c>
      <c r="AD11" s="54">
        <v>2387303</v>
      </c>
      <c r="AE11" s="54">
        <v>2141696</v>
      </c>
      <c r="AF11" s="54">
        <v>2141696</v>
      </c>
      <c r="AG11" s="54">
        <v>1955942</v>
      </c>
      <c r="AH11" s="54">
        <v>1808089</v>
      </c>
      <c r="AI11" s="54">
        <v>1564413</v>
      </c>
      <c r="AJ11" s="54">
        <v>3318298</v>
      </c>
      <c r="AK11" s="54">
        <v>3318298</v>
      </c>
      <c r="AL11" s="54">
        <v>3040579</v>
      </c>
      <c r="AM11" s="54">
        <v>2966451</v>
      </c>
      <c r="AN11" s="54">
        <v>2841588</v>
      </c>
      <c r="AO11" s="54">
        <v>2915441</v>
      </c>
      <c r="AP11" s="54">
        <v>2915441</v>
      </c>
      <c r="AQ11" s="54">
        <v>2999671</v>
      </c>
      <c r="AR11" s="52">
        <v>2695071</v>
      </c>
      <c r="AS11" s="52">
        <v>2548438</v>
      </c>
      <c r="AT11" s="54">
        <v>4127887</v>
      </c>
      <c r="AU11" s="54">
        <v>4127887</v>
      </c>
      <c r="AV11" s="54">
        <v>3670996</v>
      </c>
      <c r="AW11" s="52">
        <v>3553594</v>
      </c>
      <c r="AX11" s="52">
        <v>3633001</v>
      </c>
      <c r="AY11" s="54">
        <v>3294006</v>
      </c>
      <c r="AZ11" s="54">
        <v>3294006</v>
      </c>
      <c r="BA11" s="54">
        <v>3027403</v>
      </c>
      <c r="BB11" s="54">
        <v>2629289</v>
      </c>
      <c r="BC11" s="54">
        <v>1963921</v>
      </c>
      <c r="BD11" s="54">
        <v>1145757</v>
      </c>
      <c r="BE11" s="54">
        <v>1145757</v>
      </c>
      <c r="BF11" s="54">
        <v>643716</v>
      </c>
      <c r="BG11" s="54">
        <v>750858</v>
      </c>
      <c r="BH11" s="54">
        <v>882805</v>
      </c>
      <c r="BI11" s="55">
        <v>965200</v>
      </c>
      <c r="BJ11" s="54">
        <v>965200</v>
      </c>
      <c r="BK11" s="54">
        <v>1007973</v>
      </c>
      <c r="BL11" s="54">
        <v>1118724</v>
      </c>
      <c r="BM11" s="55">
        <v>1254993</v>
      </c>
      <c r="BN11" s="55">
        <v>1227392</v>
      </c>
      <c r="BO11" s="55">
        <v>1227392</v>
      </c>
      <c r="BP11" s="54">
        <v>1177013</v>
      </c>
      <c r="BQ11" s="54">
        <v>1080168</v>
      </c>
      <c r="BR11" s="55">
        <v>1038672</v>
      </c>
      <c r="BS11" s="54">
        <v>1163160</v>
      </c>
      <c r="BT11" s="54">
        <v>1163161</v>
      </c>
      <c r="BU11" s="55">
        <v>1128719</v>
      </c>
      <c r="BV11" s="54">
        <v>1089903</v>
      </c>
      <c r="BW11" s="55">
        <v>1054566</v>
      </c>
      <c r="BX11" s="54">
        <v>4412212</v>
      </c>
      <c r="CA11" s="45"/>
    </row>
    <row r="12" spans="1:79" x14ac:dyDescent="0.3">
      <c r="B12" s="23" t="s">
        <v>351</v>
      </c>
      <c r="C12" s="54"/>
      <c r="D12" s="54"/>
      <c r="E12" s="54"/>
      <c r="F12" s="54"/>
      <c r="G12" s="54"/>
      <c r="H12" s="54"/>
      <c r="I12" s="54"/>
      <c r="J12" s="54"/>
      <c r="K12" s="54"/>
      <c r="L12" s="54"/>
      <c r="M12" s="54"/>
      <c r="N12" s="54"/>
      <c r="O12" s="54"/>
      <c r="P12" s="54"/>
      <c r="Q12" s="54"/>
      <c r="R12" s="54"/>
      <c r="S12" s="54"/>
      <c r="T12" s="54"/>
      <c r="U12" s="54"/>
      <c r="V12" s="54"/>
      <c r="W12" s="54"/>
      <c r="X12" s="54"/>
      <c r="Y12" s="54"/>
      <c r="Z12" s="54"/>
      <c r="AA12" s="54"/>
      <c r="AB12" s="54"/>
      <c r="AC12" s="54"/>
      <c r="AD12" s="54"/>
      <c r="AE12" s="54"/>
      <c r="AF12" s="54"/>
      <c r="AG12" s="54"/>
      <c r="AH12" s="54"/>
      <c r="AI12" s="54"/>
      <c r="AJ12" s="54"/>
      <c r="AK12" s="54"/>
      <c r="AL12" s="54"/>
      <c r="AM12" s="54"/>
      <c r="AN12" s="54"/>
      <c r="AO12" s="54"/>
      <c r="AP12" s="54"/>
      <c r="AQ12" s="54"/>
      <c r="AR12" s="52"/>
      <c r="AS12" s="52"/>
      <c r="AT12" s="54"/>
      <c r="AU12" s="54"/>
      <c r="AV12" s="54"/>
      <c r="AW12" s="52"/>
      <c r="AX12" s="52"/>
      <c r="AY12" s="54"/>
      <c r="AZ12" s="54"/>
      <c r="BA12" s="54"/>
      <c r="BB12" s="54"/>
      <c r="BC12" s="54"/>
      <c r="BD12" s="54"/>
      <c r="BE12" s="54"/>
      <c r="BF12" s="54"/>
      <c r="BG12" s="54"/>
      <c r="BH12" s="54"/>
      <c r="BI12" s="54">
        <v>231699</v>
      </c>
      <c r="BJ12" s="54">
        <v>231699</v>
      </c>
      <c r="BK12" s="54">
        <v>300405</v>
      </c>
      <c r="BL12" s="54">
        <v>311104</v>
      </c>
      <c r="BM12" s="54">
        <v>323565</v>
      </c>
      <c r="BN12" s="55">
        <v>336871</v>
      </c>
      <c r="BO12" s="55">
        <v>336871</v>
      </c>
      <c r="BP12" s="54">
        <v>350790</v>
      </c>
      <c r="BQ12" s="54">
        <v>365426</v>
      </c>
      <c r="BR12" s="54">
        <v>365091</v>
      </c>
      <c r="BS12" s="54">
        <v>127706</v>
      </c>
      <c r="BT12" s="54">
        <v>127706</v>
      </c>
      <c r="BU12" s="54">
        <v>106873</v>
      </c>
      <c r="BV12" s="54">
        <v>113927</v>
      </c>
      <c r="BW12" s="54">
        <v>111614</v>
      </c>
      <c r="BX12" s="54">
        <v>50101</v>
      </c>
      <c r="CA12" s="45"/>
    </row>
    <row r="13" spans="1:79" x14ac:dyDescent="0.3">
      <c r="B13" s="23" t="s">
        <v>352</v>
      </c>
      <c r="C13" s="54"/>
      <c r="D13" s="54"/>
      <c r="E13" s="54"/>
      <c r="F13" s="54"/>
      <c r="G13" s="54"/>
      <c r="H13" s="54"/>
      <c r="I13" s="54"/>
      <c r="J13" s="54"/>
      <c r="K13" s="54"/>
      <c r="L13" s="54"/>
      <c r="M13" s="54"/>
      <c r="N13" s="54"/>
      <c r="O13" s="54"/>
      <c r="P13" s="54"/>
      <c r="Q13" s="54"/>
      <c r="R13" s="54"/>
      <c r="S13" s="54"/>
      <c r="T13" s="54"/>
      <c r="U13" s="54"/>
      <c r="V13" s="54"/>
      <c r="W13" s="54"/>
      <c r="X13" s="54"/>
      <c r="Y13" s="54"/>
      <c r="Z13" s="54"/>
      <c r="AA13" s="54"/>
      <c r="AB13" s="54"/>
      <c r="AC13" s="54"/>
      <c r="AD13" s="54"/>
      <c r="AE13" s="54"/>
      <c r="AF13" s="54"/>
      <c r="AG13" s="54"/>
      <c r="AH13" s="54"/>
      <c r="AI13" s="54"/>
      <c r="AJ13" s="54"/>
      <c r="AK13" s="54"/>
      <c r="AL13" s="54"/>
      <c r="AM13" s="54"/>
      <c r="AN13" s="54"/>
      <c r="AO13" s="54"/>
      <c r="AP13" s="54"/>
      <c r="AQ13" s="54"/>
      <c r="AR13" s="52"/>
      <c r="AS13" s="52"/>
      <c r="AT13" s="54"/>
      <c r="AU13" s="54"/>
      <c r="AV13" s="54"/>
      <c r="AW13" s="52"/>
      <c r="AX13" s="52"/>
      <c r="AY13" s="54"/>
      <c r="AZ13" s="54"/>
      <c r="BA13" s="54"/>
      <c r="BB13" s="54"/>
      <c r="BC13" s="54"/>
      <c r="BD13" s="54"/>
      <c r="BE13" s="54"/>
      <c r="BF13" s="54"/>
      <c r="BG13" s="54"/>
      <c r="BH13" s="54"/>
      <c r="BI13" s="54">
        <v>50048</v>
      </c>
      <c r="BJ13" s="54">
        <v>50068</v>
      </c>
      <c r="BK13" s="54">
        <v>39430</v>
      </c>
      <c r="BL13" s="54">
        <v>19625</v>
      </c>
      <c r="BM13" s="54">
        <v>14568</v>
      </c>
      <c r="BN13" s="54">
        <v>5586</v>
      </c>
      <c r="BO13" s="54">
        <v>5586</v>
      </c>
      <c r="BP13" s="54">
        <v>44353</v>
      </c>
      <c r="BQ13" s="54">
        <v>21339</v>
      </c>
      <c r="BR13" s="54">
        <v>0</v>
      </c>
      <c r="BS13" s="54">
        <v>0</v>
      </c>
      <c r="BT13" s="54">
        <v>0</v>
      </c>
      <c r="BU13" s="54">
        <v>423362</v>
      </c>
      <c r="BV13" s="54">
        <v>720437</v>
      </c>
      <c r="BW13" s="54">
        <v>864872</v>
      </c>
      <c r="BX13" s="54">
        <v>940339</v>
      </c>
      <c r="CA13" s="45"/>
    </row>
    <row r="14" spans="1:79" x14ac:dyDescent="0.3">
      <c r="B14" s="23" t="s">
        <v>112</v>
      </c>
      <c r="C14" s="55">
        <v>0</v>
      </c>
      <c r="D14" s="55">
        <v>2969.4050000000002</v>
      </c>
      <c r="E14" s="55">
        <v>2877.12</v>
      </c>
      <c r="F14" s="114">
        <v>7206.3140000000003</v>
      </c>
      <c r="G14" s="114">
        <v>7206.3140000000003</v>
      </c>
      <c r="H14" s="54">
        <v>6575.84</v>
      </c>
      <c r="I14" s="54">
        <v>6461.2790000000005</v>
      </c>
      <c r="J14" s="54">
        <f>(1097.276)+7915.801</f>
        <v>9013.0770000000011</v>
      </c>
      <c r="K14" s="54">
        <v>19053</v>
      </c>
      <c r="L14" s="54">
        <v>19053</v>
      </c>
      <c r="M14" s="54">
        <v>39851</v>
      </c>
      <c r="N14" s="54">
        <v>38309</v>
      </c>
      <c r="O14" s="54">
        <v>21485</v>
      </c>
      <c r="P14" s="54">
        <v>17685</v>
      </c>
      <c r="Q14" s="54">
        <v>17685</v>
      </c>
      <c r="R14" s="54">
        <v>160605</v>
      </c>
      <c r="S14" s="54">
        <v>99264</v>
      </c>
      <c r="T14" s="54">
        <v>76000</v>
      </c>
      <c r="U14" s="54">
        <v>171658</v>
      </c>
      <c r="V14" s="54">
        <v>171658</v>
      </c>
      <c r="W14" s="54">
        <v>481863</v>
      </c>
      <c r="X14" s="54">
        <v>457435</v>
      </c>
      <c r="Y14" s="54">
        <v>372902</v>
      </c>
      <c r="Z14" s="54">
        <v>459660</v>
      </c>
      <c r="AA14" s="54">
        <v>459660</v>
      </c>
      <c r="AB14" s="54">
        <v>519082</v>
      </c>
      <c r="AC14" s="54">
        <v>497979</v>
      </c>
      <c r="AD14" s="54">
        <v>556555</v>
      </c>
      <c r="AE14" s="54">
        <v>430717</v>
      </c>
      <c r="AF14" s="54">
        <v>430717</v>
      </c>
      <c r="AG14" s="54">
        <v>1051407</v>
      </c>
      <c r="AH14" s="54">
        <v>972589</v>
      </c>
      <c r="AI14" s="54">
        <v>831508</v>
      </c>
      <c r="AJ14" s="54">
        <f>1016109</f>
        <v>1016109</v>
      </c>
      <c r="AK14" s="54">
        <v>1016109</v>
      </c>
      <c r="AL14" s="54">
        <v>1738817</v>
      </c>
      <c r="AM14" s="54">
        <v>1755307</v>
      </c>
      <c r="AN14" s="54">
        <v>1397043</v>
      </c>
      <c r="AO14" s="54">
        <v>1366757</v>
      </c>
      <c r="AP14" s="54">
        <v>1366757</v>
      </c>
      <c r="AQ14" s="54">
        <v>1668600</v>
      </c>
      <c r="AR14" s="52">
        <v>2142847</v>
      </c>
      <c r="AS14" s="52">
        <v>1756822</v>
      </c>
      <c r="AT14" s="54">
        <v>2042897</v>
      </c>
      <c r="AU14" s="54">
        <v>1441820</v>
      </c>
      <c r="AV14" s="54">
        <v>1853666</v>
      </c>
      <c r="AW14" s="52">
        <v>1641089</v>
      </c>
      <c r="AX14" s="52">
        <v>1359532</v>
      </c>
      <c r="AY14" s="54">
        <v>1030474</v>
      </c>
      <c r="AZ14" s="54">
        <v>1030474</v>
      </c>
      <c r="BA14" s="54">
        <v>1323649</v>
      </c>
      <c r="BB14" s="54">
        <v>1422455</v>
      </c>
      <c r="BC14" s="54">
        <v>1521689</v>
      </c>
      <c r="BD14" s="54">
        <v>1989064</v>
      </c>
      <c r="BE14" s="54">
        <v>1989064</v>
      </c>
      <c r="BF14" s="54">
        <v>2225316</v>
      </c>
      <c r="BG14" s="54">
        <v>1926178</v>
      </c>
      <c r="BH14" s="54">
        <v>2022034</v>
      </c>
      <c r="BI14" s="54">
        <v>1759223</v>
      </c>
      <c r="BJ14" s="54">
        <v>1759223</v>
      </c>
      <c r="BK14" s="54">
        <v>1408622</v>
      </c>
      <c r="BL14" s="54">
        <v>1554722</v>
      </c>
      <c r="BM14" s="54">
        <v>1518691</v>
      </c>
      <c r="BN14" s="54">
        <v>764906</v>
      </c>
      <c r="BO14" s="54">
        <v>764906</v>
      </c>
      <c r="BP14" s="54">
        <v>2074959</v>
      </c>
      <c r="BQ14" s="54">
        <v>1440835</v>
      </c>
      <c r="BR14" s="54">
        <v>1115429</v>
      </c>
      <c r="BS14" s="54">
        <v>775186</v>
      </c>
      <c r="BT14" s="54">
        <v>775186</v>
      </c>
      <c r="BU14" s="54">
        <v>1169891</v>
      </c>
      <c r="BV14" s="54">
        <v>956036</v>
      </c>
      <c r="BW14" s="54">
        <v>1205361</v>
      </c>
      <c r="BX14" s="54">
        <v>1526419</v>
      </c>
      <c r="CA14" s="45"/>
    </row>
    <row r="15" spans="1:79" x14ac:dyDescent="0.3">
      <c r="B15" s="23" t="s">
        <v>408</v>
      </c>
      <c r="C15" s="55"/>
      <c r="D15" s="55"/>
      <c r="E15" s="55"/>
      <c r="F15" s="114"/>
      <c r="G15" s="11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2"/>
      <c r="AS15" s="52"/>
      <c r="AT15" s="54"/>
      <c r="AU15" s="54"/>
      <c r="AV15" s="54"/>
      <c r="AW15" s="52"/>
      <c r="AX15" s="52"/>
      <c r="AY15" s="54"/>
      <c r="AZ15" s="54"/>
      <c r="BA15" s="54"/>
      <c r="BB15" s="54"/>
      <c r="BC15" s="54"/>
      <c r="BD15" s="54"/>
      <c r="BE15" s="54"/>
      <c r="BF15" s="54"/>
      <c r="BG15" s="54"/>
      <c r="BH15" s="54"/>
      <c r="BI15" s="54"/>
      <c r="BJ15" s="54"/>
      <c r="BK15" s="54"/>
      <c r="BL15" s="54"/>
      <c r="BM15" s="54"/>
      <c r="BN15" s="54"/>
      <c r="BO15" s="54"/>
      <c r="BP15" s="54">
        <v>0</v>
      </c>
      <c r="BQ15" s="54">
        <v>0</v>
      </c>
      <c r="BR15" s="54">
        <v>0</v>
      </c>
      <c r="BS15" s="54">
        <v>437769</v>
      </c>
      <c r="BT15" s="54">
        <v>437769</v>
      </c>
      <c r="BU15" s="54">
        <v>331731</v>
      </c>
      <c r="BV15" s="54">
        <v>462776</v>
      </c>
      <c r="BW15" s="54">
        <v>416590</v>
      </c>
      <c r="BX15" s="54">
        <v>491760</v>
      </c>
      <c r="CA15" s="45"/>
    </row>
    <row r="16" spans="1:79" x14ac:dyDescent="0.3">
      <c r="B16" s="23" t="s">
        <v>439</v>
      </c>
      <c r="C16" s="55"/>
      <c r="D16" s="55"/>
      <c r="E16" s="55"/>
      <c r="F16" s="114"/>
      <c r="G16" s="114"/>
      <c r="H16" s="54"/>
      <c r="I16" s="54"/>
      <c r="J16" s="54"/>
      <c r="K16" s="54"/>
      <c r="L16" s="54"/>
      <c r="M16" s="54"/>
      <c r="N16" s="54"/>
      <c r="O16" s="54"/>
      <c r="P16" s="54"/>
      <c r="Q16" s="54"/>
      <c r="R16" s="54"/>
      <c r="S16" s="54"/>
      <c r="T16" s="54"/>
      <c r="U16" s="54"/>
      <c r="V16" s="54"/>
      <c r="W16" s="54"/>
      <c r="X16" s="54"/>
      <c r="Y16" s="54"/>
      <c r="Z16" s="54"/>
      <c r="AA16" s="54"/>
      <c r="AB16" s="54"/>
      <c r="AC16" s="54"/>
      <c r="AD16" s="54"/>
      <c r="AE16" s="54"/>
      <c r="AF16" s="54"/>
      <c r="AG16" s="54"/>
      <c r="AH16" s="54"/>
      <c r="AI16" s="54"/>
      <c r="AJ16" s="54"/>
      <c r="AK16" s="54"/>
      <c r="AL16" s="54"/>
      <c r="AM16" s="54"/>
      <c r="AN16" s="54"/>
      <c r="AO16" s="54"/>
      <c r="AP16" s="54"/>
      <c r="AQ16" s="54"/>
      <c r="AR16" s="52"/>
      <c r="AS16" s="52"/>
      <c r="AT16" s="54"/>
      <c r="AU16" s="54"/>
      <c r="AV16" s="54"/>
      <c r="AW16" s="52"/>
      <c r="AX16" s="52"/>
      <c r="AY16" s="54"/>
      <c r="AZ16" s="54"/>
      <c r="BA16" s="54"/>
      <c r="BB16" s="54"/>
      <c r="BC16" s="54"/>
      <c r="BD16" s="54"/>
      <c r="BE16" s="54"/>
      <c r="BF16" s="54"/>
      <c r="BG16" s="54"/>
      <c r="BH16" s="54"/>
      <c r="BI16" s="54"/>
      <c r="BJ16" s="54"/>
      <c r="BK16" s="54"/>
      <c r="BL16" s="54"/>
      <c r="BM16" s="54"/>
      <c r="BN16" s="54"/>
      <c r="BO16" s="54"/>
      <c r="BP16" s="54"/>
      <c r="BQ16" s="54"/>
      <c r="BR16" s="54"/>
      <c r="BS16" s="54"/>
      <c r="BT16" s="54"/>
      <c r="BU16" s="54">
        <v>0</v>
      </c>
      <c r="BV16" s="54">
        <v>0</v>
      </c>
      <c r="BW16" s="54">
        <v>0</v>
      </c>
      <c r="BX16" s="54">
        <v>12358667</v>
      </c>
      <c r="CA16" s="45"/>
    </row>
    <row r="17" spans="1:78" s="51" customFormat="1" x14ac:dyDescent="0.3">
      <c r="A17" s="23"/>
      <c r="B17" s="51" t="s">
        <v>113</v>
      </c>
      <c r="C17" s="56">
        <f>SUM(C6:C15)</f>
        <v>2905247.2910000002</v>
      </c>
      <c r="D17" s="56">
        <f>SUM(D6:D15)</f>
        <v>1578101.8640000001</v>
      </c>
      <c r="E17" s="56">
        <f t="shared" ref="E17:AM17" si="0">SUM(E6:E14)</f>
        <v>1329375</v>
      </c>
      <c r="F17" s="56">
        <f t="shared" si="0"/>
        <v>804794.16299999994</v>
      </c>
      <c r="G17" s="56">
        <f>SUM(G6:G14)</f>
        <v>804794.16299999994</v>
      </c>
      <c r="H17" s="56">
        <f t="shared" si="0"/>
        <v>7945450.3360000001</v>
      </c>
      <c r="I17" s="56">
        <f t="shared" si="0"/>
        <v>5122073.0240000002</v>
      </c>
      <c r="J17" s="56">
        <f t="shared" si="0"/>
        <v>4324467.727</v>
      </c>
      <c r="K17" s="56">
        <f t="shared" si="0"/>
        <v>3784833</v>
      </c>
      <c r="L17" s="56">
        <f>SUM(L6:L14)</f>
        <v>3773555</v>
      </c>
      <c r="M17" s="56">
        <f t="shared" si="0"/>
        <v>23066923</v>
      </c>
      <c r="N17" s="56">
        <f t="shared" si="0"/>
        <v>20651323</v>
      </c>
      <c r="O17" s="56">
        <f t="shared" si="0"/>
        <v>17608412</v>
      </c>
      <c r="P17" s="56">
        <f t="shared" si="0"/>
        <v>6700178</v>
      </c>
      <c r="Q17" s="56">
        <f>SUM(Q6:Q14)</f>
        <v>6574569</v>
      </c>
      <c r="R17" s="56">
        <f t="shared" si="0"/>
        <v>6244514</v>
      </c>
      <c r="S17" s="56">
        <f t="shared" si="0"/>
        <v>33642475</v>
      </c>
      <c r="T17" s="56">
        <f t="shared" si="0"/>
        <v>29325288</v>
      </c>
      <c r="U17" s="56">
        <f t="shared" si="0"/>
        <v>24047188</v>
      </c>
      <c r="V17" s="56">
        <f>SUM(V6:V14)</f>
        <v>24047188</v>
      </c>
      <c r="W17" s="56">
        <f t="shared" si="0"/>
        <v>31096214</v>
      </c>
      <c r="X17" s="56">
        <f t="shared" si="0"/>
        <v>13326595</v>
      </c>
      <c r="Y17" s="56">
        <f t="shared" si="0"/>
        <v>10524398</v>
      </c>
      <c r="Z17" s="56">
        <f t="shared" si="0"/>
        <v>13715805</v>
      </c>
      <c r="AA17" s="56">
        <f>SUM(AA6:AA14)</f>
        <v>13715805</v>
      </c>
      <c r="AB17" s="56">
        <f t="shared" si="0"/>
        <v>12183850</v>
      </c>
      <c r="AC17" s="56">
        <f t="shared" si="0"/>
        <v>15326249</v>
      </c>
      <c r="AD17" s="56">
        <f t="shared" si="0"/>
        <v>11734722</v>
      </c>
      <c r="AE17" s="56">
        <f t="shared" si="0"/>
        <v>11673221</v>
      </c>
      <c r="AF17" s="56">
        <f>SUM(AF6:AF14)</f>
        <v>11673221</v>
      </c>
      <c r="AG17" s="56">
        <f t="shared" si="0"/>
        <v>9750902</v>
      </c>
      <c r="AH17" s="56">
        <f t="shared" si="0"/>
        <v>8977506</v>
      </c>
      <c r="AI17" s="56">
        <f t="shared" si="0"/>
        <v>7868689</v>
      </c>
      <c r="AJ17" s="56">
        <f t="shared" si="0"/>
        <v>12078177</v>
      </c>
      <c r="AK17" s="56">
        <f>SUM(AK6:AK14)</f>
        <v>12078177</v>
      </c>
      <c r="AL17" s="56">
        <f t="shared" si="0"/>
        <v>10442285</v>
      </c>
      <c r="AM17" s="56">
        <f t="shared" si="0"/>
        <v>10258803</v>
      </c>
      <c r="AN17" s="56">
        <v>12137285</v>
      </c>
      <c r="AO17" s="56">
        <f t="shared" ref="AO17:AV17" si="1">SUM(AO6:AO14)</f>
        <v>10471728</v>
      </c>
      <c r="AP17" s="56">
        <f>SUM(AP6:AP14)</f>
        <v>10471728</v>
      </c>
      <c r="AQ17" s="56">
        <f t="shared" si="1"/>
        <v>10408519</v>
      </c>
      <c r="AR17" s="56">
        <f t="shared" si="1"/>
        <v>25424196</v>
      </c>
      <c r="AS17" s="56">
        <f>SUM(AS6:AS14)</f>
        <v>20579079</v>
      </c>
      <c r="AT17" s="56">
        <f t="shared" si="1"/>
        <v>12085555</v>
      </c>
      <c r="AU17" s="56">
        <f>SUM(AU6:AU15)</f>
        <v>11484478</v>
      </c>
      <c r="AV17" s="56">
        <f t="shared" si="1"/>
        <v>12982189</v>
      </c>
      <c r="AW17" s="56">
        <v>23918436</v>
      </c>
      <c r="AX17" s="56">
        <f>SUM(AX6:AX14)</f>
        <v>27193658</v>
      </c>
      <c r="AY17" s="56">
        <f>SUM(AY6:AY15)</f>
        <v>15236374</v>
      </c>
      <c r="AZ17" s="56">
        <f>SUM(AZ6:AZ15)</f>
        <v>15236374</v>
      </c>
      <c r="BA17" s="56">
        <f t="shared" ref="BA17" si="2">SUM(BA6:BA14)</f>
        <v>13125695</v>
      </c>
      <c r="BB17" s="56">
        <f>SUM(BB6:BB14)</f>
        <v>11613168</v>
      </c>
      <c r="BC17" s="56">
        <f>SUM(BC6:BC14)</f>
        <v>11110256</v>
      </c>
      <c r="BD17" s="56">
        <f>SUM(BD6:BD15)</f>
        <v>14002143</v>
      </c>
      <c r="BE17" s="56">
        <f>SUM(BE6:BE15)</f>
        <v>14002143</v>
      </c>
      <c r="BF17" s="56">
        <f t="shared" ref="BF17:BH17" si="3">SUM(BF6:BF14)</f>
        <v>12742090</v>
      </c>
      <c r="BG17" s="56">
        <f t="shared" si="3"/>
        <v>13278719</v>
      </c>
      <c r="BH17" s="56">
        <f t="shared" si="3"/>
        <v>13294511</v>
      </c>
      <c r="BI17" s="56">
        <f>SUM(BI6:BI15)</f>
        <v>19135636</v>
      </c>
      <c r="BJ17" s="56">
        <f>SUM(BJ6:BJ15)</f>
        <v>19135655</v>
      </c>
      <c r="BK17" s="56">
        <f t="shared" ref="BK17:BM17" si="4">SUM(BK6:BK14)</f>
        <v>15024313</v>
      </c>
      <c r="BL17" s="56">
        <f t="shared" si="4"/>
        <v>12370801</v>
      </c>
      <c r="BM17" s="56">
        <f t="shared" si="4"/>
        <v>11000580</v>
      </c>
      <c r="BN17" s="56">
        <f t="shared" ref="BN17:BS17" si="5">SUM(BN6:BN15)</f>
        <v>10405365</v>
      </c>
      <c r="BO17" s="56">
        <f t="shared" si="5"/>
        <v>10405365</v>
      </c>
      <c r="BP17" s="56">
        <f t="shared" si="5"/>
        <v>10828172</v>
      </c>
      <c r="BQ17" s="56">
        <f t="shared" si="5"/>
        <v>12216931</v>
      </c>
      <c r="BR17" s="56">
        <f t="shared" si="5"/>
        <v>9889411</v>
      </c>
      <c r="BS17" s="56">
        <f t="shared" si="5"/>
        <v>10287924</v>
      </c>
      <c r="BT17" s="56">
        <f>SUM(BT6:BT15)</f>
        <v>10287925</v>
      </c>
      <c r="BU17" s="56">
        <f>SUM(BU6:BU16)</f>
        <v>8424450</v>
      </c>
      <c r="BV17" s="56">
        <f>SUM(BV6:BV16)</f>
        <v>10845917</v>
      </c>
      <c r="BW17" s="56">
        <f>SUM(BW6:BW16)</f>
        <v>9778900</v>
      </c>
      <c r="BX17" s="56">
        <f>SUM(BX6:BX16)</f>
        <v>36763647</v>
      </c>
    </row>
    <row r="18" spans="1:78" s="51" customFormat="1" x14ac:dyDescent="0.3">
      <c r="A18" s="23"/>
      <c r="C18" s="87"/>
      <c r="D18" s="87"/>
      <c r="E18" s="87"/>
      <c r="F18" s="87"/>
      <c r="G18" s="87"/>
      <c r="H18" s="87"/>
      <c r="I18" s="87"/>
      <c r="J18" s="87"/>
      <c r="K18" s="87"/>
      <c r="L18" s="87"/>
      <c r="M18" s="87"/>
      <c r="N18" s="87"/>
      <c r="O18" s="87"/>
      <c r="P18" s="87"/>
      <c r="Q18" s="87"/>
      <c r="R18" s="87"/>
      <c r="S18" s="87"/>
      <c r="T18" s="87"/>
      <c r="U18" s="87"/>
      <c r="V18" s="87"/>
      <c r="W18" s="87"/>
      <c r="X18" s="87"/>
      <c r="Y18" s="87"/>
      <c r="Z18" s="87"/>
      <c r="AA18" s="87"/>
      <c r="AB18" s="87"/>
      <c r="AC18" s="87"/>
      <c r="AD18" s="87"/>
      <c r="AE18" s="87"/>
      <c r="AF18" s="87"/>
      <c r="AG18" s="87"/>
      <c r="AH18" s="87"/>
      <c r="AI18" s="87"/>
      <c r="AJ18" s="87"/>
      <c r="AK18" s="87"/>
      <c r="AL18" s="87"/>
      <c r="AM18" s="87"/>
      <c r="AN18" s="87"/>
      <c r="AO18" s="87"/>
      <c r="AP18" s="87"/>
      <c r="AQ18" s="87"/>
      <c r="AR18" s="87"/>
      <c r="AS18" s="87"/>
      <c r="AT18" s="87"/>
      <c r="AU18" s="87"/>
      <c r="AV18" s="87"/>
      <c r="AW18" s="87"/>
      <c r="AX18" s="87"/>
      <c r="AY18" s="87"/>
      <c r="AZ18" s="87"/>
      <c r="BA18" s="87"/>
      <c r="BB18" s="87"/>
      <c r="BC18" s="87"/>
      <c r="BD18" s="87"/>
      <c r="BE18" s="87"/>
      <c r="BF18" s="87"/>
      <c r="BG18" s="87"/>
      <c r="BH18" s="87"/>
      <c r="BI18" s="87"/>
      <c r="BJ18" s="87"/>
      <c r="BK18" s="87"/>
      <c r="BL18" s="87"/>
      <c r="BM18" s="87"/>
      <c r="BN18" s="87"/>
      <c r="BO18" s="87"/>
      <c r="BP18" s="87"/>
      <c r="BQ18" s="87"/>
      <c r="BR18" s="87"/>
      <c r="BS18" s="87"/>
      <c r="BT18" s="87"/>
      <c r="BU18" s="87"/>
      <c r="BV18" s="87"/>
      <c r="BW18" s="87"/>
      <c r="BX18" s="87"/>
    </row>
    <row r="19" spans="1:78" x14ac:dyDescent="0.3">
      <c r="A19" s="51"/>
      <c r="B19" s="51" t="s">
        <v>436</v>
      </c>
      <c r="C19" s="54"/>
      <c r="D19" s="54"/>
      <c r="E19" s="54"/>
      <c r="F19" s="54"/>
      <c r="G19" s="54"/>
      <c r="H19" s="54"/>
      <c r="I19" s="54"/>
      <c r="J19" s="54"/>
      <c r="K19" s="54"/>
      <c r="L19" s="54"/>
      <c r="M19" s="54"/>
      <c r="N19" s="54"/>
      <c r="O19" s="54"/>
      <c r="P19" s="54"/>
      <c r="Q19" s="54"/>
      <c r="R19" s="54"/>
      <c r="S19" s="54"/>
      <c r="T19" s="54"/>
      <c r="U19" s="54"/>
      <c r="V19" s="54"/>
      <c r="W19" s="54"/>
      <c r="X19" s="54"/>
      <c r="Y19" s="54"/>
      <c r="Z19" s="54"/>
      <c r="AA19" s="54"/>
      <c r="AB19" s="54"/>
      <c r="AC19" s="54"/>
      <c r="AD19" s="54"/>
      <c r="AE19" s="54"/>
      <c r="AF19" s="54"/>
      <c r="AG19" s="54"/>
      <c r="AH19" s="54"/>
      <c r="AI19" s="54"/>
      <c r="AJ19" s="54"/>
      <c r="AK19" s="54"/>
      <c r="AL19" s="54"/>
      <c r="AM19" s="54"/>
      <c r="AN19" s="54"/>
      <c r="AO19" s="54"/>
      <c r="AP19" s="54"/>
      <c r="AQ19" s="54"/>
      <c r="AR19" s="54"/>
      <c r="AS19" s="54"/>
      <c r="AT19" s="54"/>
      <c r="AU19" s="54"/>
      <c r="AV19" s="54"/>
      <c r="AW19" s="47"/>
      <c r="AX19" s="47"/>
      <c r="AY19" s="54"/>
      <c r="AZ19" s="54"/>
      <c r="BA19" s="54"/>
      <c r="BB19" s="54"/>
      <c r="BC19" s="54"/>
      <c r="BD19" s="54"/>
      <c r="BE19" s="54"/>
      <c r="BF19" s="54"/>
      <c r="BG19" s="54"/>
      <c r="BH19" s="54"/>
      <c r="BI19" s="54"/>
      <c r="BJ19" s="54"/>
      <c r="BK19" s="54"/>
      <c r="BL19" s="54"/>
      <c r="BM19" s="54"/>
      <c r="BN19" s="54"/>
      <c r="BO19" s="54"/>
      <c r="BP19" s="54"/>
      <c r="BQ19" s="54"/>
      <c r="BR19" s="54"/>
      <c r="BS19" s="54"/>
      <c r="BT19" s="54"/>
      <c r="BU19" s="54"/>
      <c r="BV19" s="54"/>
      <c r="BW19" s="54"/>
      <c r="BX19" s="54"/>
    </row>
    <row r="20" spans="1:78" x14ac:dyDescent="0.3">
      <c r="A20" s="51"/>
      <c r="B20" s="23" t="s">
        <v>440</v>
      </c>
      <c r="C20" s="54"/>
      <c r="D20" s="54"/>
      <c r="E20" s="54"/>
      <c r="F20" s="54"/>
      <c r="G20" s="54"/>
      <c r="H20" s="54"/>
      <c r="I20" s="54"/>
      <c r="J20" s="54"/>
      <c r="K20" s="54"/>
      <c r="L20" s="54"/>
      <c r="M20" s="54"/>
      <c r="N20" s="54"/>
      <c r="O20" s="54"/>
      <c r="P20" s="54"/>
      <c r="Q20" s="54"/>
      <c r="R20" s="54"/>
      <c r="S20" s="54"/>
      <c r="T20" s="54"/>
      <c r="U20" s="54"/>
      <c r="V20" s="54"/>
      <c r="W20" s="54"/>
      <c r="X20" s="54"/>
      <c r="Y20" s="54"/>
      <c r="Z20" s="54"/>
      <c r="AA20" s="54"/>
      <c r="AB20" s="54"/>
      <c r="AC20" s="54"/>
      <c r="AD20" s="54"/>
      <c r="AE20" s="54"/>
      <c r="AF20" s="54"/>
      <c r="AG20" s="54"/>
      <c r="AH20" s="54"/>
      <c r="AI20" s="54"/>
      <c r="AJ20" s="54"/>
      <c r="AK20" s="54"/>
      <c r="AL20" s="54"/>
      <c r="AM20" s="54"/>
      <c r="AN20" s="54"/>
      <c r="AO20" s="54"/>
      <c r="AP20" s="54"/>
      <c r="AQ20" s="54"/>
      <c r="AR20" s="54"/>
      <c r="AS20" s="54"/>
      <c r="AT20" s="54"/>
      <c r="AU20" s="54"/>
      <c r="AV20" s="54"/>
      <c r="AW20" s="47"/>
      <c r="AX20" s="47"/>
      <c r="AY20" s="54"/>
      <c r="AZ20" s="54"/>
      <c r="BA20" s="54"/>
      <c r="BB20" s="54"/>
      <c r="BC20" s="54"/>
      <c r="BD20" s="54"/>
      <c r="BE20" s="54"/>
      <c r="BF20" s="54"/>
      <c r="BG20" s="54"/>
      <c r="BH20" s="54"/>
      <c r="BI20" s="54"/>
      <c r="BJ20" s="54"/>
      <c r="BK20" s="54"/>
      <c r="BL20" s="54"/>
      <c r="BM20" s="54"/>
      <c r="BN20" s="54"/>
      <c r="BO20" s="54"/>
      <c r="BP20" s="54"/>
      <c r="BQ20" s="54"/>
      <c r="BR20" s="54"/>
      <c r="BS20" s="54"/>
      <c r="BT20" s="54"/>
      <c r="BU20" s="54">
        <v>0</v>
      </c>
      <c r="BV20" s="54">
        <v>0</v>
      </c>
      <c r="BW20" s="54">
        <v>0</v>
      </c>
      <c r="BX20" s="54">
        <v>155706</v>
      </c>
    </row>
    <row r="21" spans="1:78" x14ac:dyDescent="0.3">
      <c r="A21" s="51"/>
      <c r="B21" s="23" t="s">
        <v>376</v>
      </c>
      <c r="C21" s="54"/>
      <c r="D21" s="54"/>
      <c r="E21" s="54"/>
      <c r="F21" s="54"/>
      <c r="G21" s="54"/>
      <c r="H21" s="54"/>
      <c r="I21" s="54"/>
      <c r="J21" s="54"/>
      <c r="K21" s="54"/>
      <c r="L21" s="54"/>
      <c r="M21" s="54"/>
      <c r="N21" s="54"/>
      <c r="O21" s="54"/>
      <c r="P21" s="54"/>
      <c r="Q21" s="54"/>
      <c r="R21" s="54"/>
      <c r="S21" s="54"/>
      <c r="T21" s="54"/>
      <c r="U21" s="54"/>
      <c r="V21" s="54"/>
      <c r="W21" s="54"/>
      <c r="X21" s="54"/>
      <c r="Y21" s="54"/>
      <c r="Z21" s="54"/>
      <c r="AA21" s="54"/>
      <c r="AB21" s="54"/>
      <c r="AC21" s="54"/>
      <c r="AD21" s="54"/>
      <c r="AE21" s="54"/>
      <c r="AF21" s="54"/>
      <c r="AG21" s="54"/>
      <c r="AH21" s="54"/>
      <c r="AI21" s="54"/>
      <c r="AJ21" s="54"/>
      <c r="AK21" s="54"/>
      <c r="AL21" s="54"/>
      <c r="AM21" s="54"/>
      <c r="AN21" s="54"/>
      <c r="AO21" s="54"/>
      <c r="AP21" s="54"/>
      <c r="AQ21" s="54"/>
      <c r="AR21" s="54"/>
      <c r="AS21" s="54"/>
      <c r="AT21" s="54"/>
      <c r="AU21" s="54"/>
      <c r="AV21" s="54"/>
      <c r="AW21" s="47"/>
      <c r="AX21" s="47"/>
      <c r="AY21" s="54"/>
      <c r="AZ21" s="54"/>
      <c r="BA21" s="54"/>
      <c r="BB21" s="54">
        <v>1219188</v>
      </c>
      <c r="BC21" s="54">
        <v>1240306</v>
      </c>
      <c r="BD21" s="54">
        <v>1256939</v>
      </c>
      <c r="BE21" s="54">
        <v>1256939</v>
      </c>
      <c r="BF21" s="54">
        <v>1272064</v>
      </c>
      <c r="BG21" s="54">
        <v>1286887</v>
      </c>
      <c r="BH21" s="54">
        <v>1309952</v>
      </c>
      <c r="BI21" s="54">
        <v>1324008</v>
      </c>
      <c r="BJ21" s="54">
        <v>1324008</v>
      </c>
      <c r="BK21" s="54">
        <v>1339798</v>
      </c>
      <c r="BL21" s="54">
        <v>1331817</v>
      </c>
      <c r="BM21" s="54">
        <v>0</v>
      </c>
      <c r="BN21" s="54">
        <v>0</v>
      </c>
      <c r="BO21" s="54">
        <v>0</v>
      </c>
      <c r="BP21" s="54">
        <v>0</v>
      </c>
      <c r="BQ21" s="54">
        <v>660595</v>
      </c>
      <c r="BR21" s="54">
        <v>675505</v>
      </c>
      <c r="BS21" s="54">
        <v>675505</v>
      </c>
      <c r="BT21" s="54">
        <v>675505</v>
      </c>
      <c r="BU21" s="54">
        <v>675505</v>
      </c>
      <c r="BV21" s="54">
        <v>675505</v>
      </c>
      <c r="BW21" s="54">
        <v>975505</v>
      </c>
      <c r="BX21" s="54">
        <v>675505</v>
      </c>
    </row>
    <row r="22" spans="1:78" x14ac:dyDescent="0.3">
      <c r="B22" s="23" t="s">
        <v>63</v>
      </c>
      <c r="C22" s="54">
        <v>4397451.1979999999</v>
      </c>
      <c r="D22" s="54">
        <v>8181060.7659999998</v>
      </c>
      <c r="E22" s="54">
        <v>8432626.9399999995</v>
      </c>
      <c r="F22" s="54">
        <v>8403785.9869999997</v>
      </c>
      <c r="G22" s="54">
        <v>8402785.9869999997</v>
      </c>
      <c r="H22" s="54">
        <v>11206471.744999999</v>
      </c>
      <c r="I22" s="54">
        <v>13253432.736</v>
      </c>
      <c r="J22" s="54">
        <v>29459872.515000001</v>
      </c>
      <c r="K22" s="54">
        <v>29853455</v>
      </c>
      <c r="L22" s="54">
        <v>29853455</v>
      </c>
      <c r="M22" s="54">
        <v>48955393</v>
      </c>
      <c r="N22" s="54">
        <v>49635769</v>
      </c>
      <c r="O22" s="54">
        <v>46239642</v>
      </c>
      <c r="P22" s="54">
        <v>88905718</v>
      </c>
      <c r="Q22" s="54">
        <v>88905718</v>
      </c>
      <c r="R22" s="54">
        <v>91481703</v>
      </c>
      <c r="S22" s="54">
        <v>102034312</v>
      </c>
      <c r="T22" s="55">
        <v>104385705</v>
      </c>
      <c r="U22" s="54">
        <v>113303350</v>
      </c>
      <c r="V22" s="54">
        <v>113303350</v>
      </c>
      <c r="W22" s="54">
        <v>118085121</v>
      </c>
      <c r="X22" s="54">
        <v>138379801</v>
      </c>
      <c r="Y22" s="54">
        <v>141459618</v>
      </c>
      <c r="Z22" s="54">
        <v>151822122</v>
      </c>
      <c r="AA22" s="54">
        <v>152349934</v>
      </c>
      <c r="AB22" s="54">
        <v>155521279</v>
      </c>
      <c r="AC22" s="54">
        <v>163528249</v>
      </c>
      <c r="AD22" s="54">
        <v>167242895</v>
      </c>
      <c r="AE22" s="54">
        <v>172739278</v>
      </c>
      <c r="AF22" s="54">
        <v>172739278</v>
      </c>
      <c r="AG22" s="54">
        <v>178210610</v>
      </c>
      <c r="AH22" s="54">
        <v>183897093</v>
      </c>
      <c r="AI22" s="54">
        <v>187030975</v>
      </c>
      <c r="AJ22" s="54">
        <v>203064242</v>
      </c>
      <c r="AK22" s="54">
        <v>203064242</v>
      </c>
      <c r="AL22" s="54">
        <v>206625489</v>
      </c>
      <c r="AM22" s="54">
        <v>210580303</v>
      </c>
      <c r="AN22" s="54">
        <v>214088787</v>
      </c>
      <c r="AO22" s="54">
        <v>223515535</v>
      </c>
      <c r="AP22" s="54">
        <v>223515535</v>
      </c>
      <c r="AQ22" s="54">
        <v>228104430</v>
      </c>
      <c r="AR22" s="54">
        <v>233494308</v>
      </c>
      <c r="AS22" s="54">
        <v>237080202</v>
      </c>
      <c r="AT22" s="54">
        <v>259582453</v>
      </c>
      <c r="AU22" s="54">
        <v>259485461</v>
      </c>
      <c r="AV22" s="54">
        <v>261860092</v>
      </c>
      <c r="AW22" s="54">
        <v>271940056</v>
      </c>
      <c r="AX22" s="54">
        <v>276457206</v>
      </c>
      <c r="AY22" s="54">
        <v>278253392</v>
      </c>
      <c r="AZ22" s="54">
        <v>278253392</v>
      </c>
      <c r="BA22" s="54">
        <v>283093911</v>
      </c>
      <c r="BB22" s="54">
        <v>280885570</v>
      </c>
      <c r="BC22" s="54">
        <v>282077187</v>
      </c>
      <c r="BD22" s="54">
        <v>286470312</v>
      </c>
      <c r="BE22" s="54">
        <v>286470312</v>
      </c>
      <c r="BF22" s="54">
        <v>288817480</v>
      </c>
      <c r="BG22" s="54">
        <v>293569829</v>
      </c>
      <c r="BH22" s="54">
        <v>298778029</v>
      </c>
      <c r="BI22" s="54">
        <v>300989567</v>
      </c>
      <c r="BJ22" s="54">
        <v>300989567</v>
      </c>
      <c r="BK22" s="54">
        <v>303457936</v>
      </c>
      <c r="BL22" s="54">
        <v>307214995</v>
      </c>
      <c r="BM22" s="54">
        <v>309380500</v>
      </c>
      <c r="BN22" s="54">
        <v>312270870</v>
      </c>
      <c r="BO22" s="54">
        <v>312270870</v>
      </c>
      <c r="BP22" s="54">
        <v>313557105</v>
      </c>
      <c r="BQ22" s="54">
        <v>321319129</v>
      </c>
      <c r="BR22" s="54">
        <v>322254496</v>
      </c>
      <c r="BS22" s="54">
        <v>327172615</v>
      </c>
      <c r="BT22" s="54">
        <v>327172615</v>
      </c>
      <c r="BU22" s="54">
        <v>328040795</v>
      </c>
      <c r="BV22" s="54">
        <v>328639976</v>
      </c>
      <c r="BW22" s="54">
        <v>329158996</v>
      </c>
      <c r="BX22" s="54">
        <v>360758353</v>
      </c>
    </row>
    <row r="23" spans="1:78" x14ac:dyDescent="0.3">
      <c r="B23" s="23" t="s">
        <v>351</v>
      </c>
      <c r="C23" s="54"/>
      <c r="D23" s="54"/>
      <c r="E23" s="54"/>
      <c r="F23" s="54"/>
      <c r="G23" s="54"/>
      <c r="H23" s="54"/>
      <c r="I23" s="54"/>
      <c r="J23" s="54"/>
      <c r="K23" s="54"/>
      <c r="L23" s="54"/>
      <c r="M23" s="54"/>
      <c r="N23" s="54"/>
      <c r="O23" s="54"/>
      <c r="P23" s="54"/>
      <c r="Q23" s="54"/>
      <c r="R23" s="54"/>
      <c r="S23" s="54"/>
      <c r="T23" s="55"/>
      <c r="U23" s="54"/>
      <c r="V23" s="54"/>
      <c r="W23" s="54"/>
      <c r="X23" s="54"/>
      <c r="Y23" s="54"/>
      <c r="Z23" s="54"/>
      <c r="AA23" s="54"/>
      <c r="AB23" s="54"/>
      <c r="AC23" s="54"/>
      <c r="AD23" s="54"/>
      <c r="AE23" s="54"/>
      <c r="AF23" s="54"/>
      <c r="AG23" s="54"/>
      <c r="AH23" s="54"/>
      <c r="AI23" s="54"/>
      <c r="AJ23" s="54"/>
      <c r="AK23" s="54"/>
      <c r="AL23" s="54"/>
      <c r="AM23" s="54"/>
      <c r="AN23" s="54"/>
      <c r="AO23" s="54"/>
      <c r="AP23" s="54"/>
      <c r="AQ23" s="54"/>
      <c r="AR23" s="54"/>
      <c r="AS23" s="54"/>
      <c r="AT23" s="54"/>
      <c r="AU23" s="54"/>
      <c r="AV23" s="54"/>
      <c r="AW23" s="54"/>
      <c r="AX23" s="54"/>
      <c r="AY23" s="54"/>
      <c r="AZ23" s="54"/>
      <c r="BA23" s="54"/>
      <c r="BB23" s="54"/>
      <c r="BC23" s="54"/>
      <c r="BD23" s="54"/>
      <c r="BE23" s="54"/>
      <c r="BF23" s="54"/>
      <c r="BG23" s="54"/>
      <c r="BH23" s="54"/>
      <c r="BI23" s="54">
        <v>2513859</v>
      </c>
      <c r="BJ23" s="54">
        <v>2513859</v>
      </c>
      <c r="BK23" s="54">
        <v>2512649</v>
      </c>
      <c r="BL23" s="54">
        <v>2572561</v>
      </c>
      <c r="BM23" s="54">
        <v>2633481</v>
      </c>
      <c r="BN23" s="54">
        <v>2697217</v>
      </c>
      <c r="BO23" s="54">
        <v>2697217</v>
      </c>
      <c r="BP23" s="54">
        <v>2761954</v>
      </c>
      <c r="BQ23" s="54">
        <v>2829921</v>
      </c>
      <c r="BR23" s="54">
        <v>2937295</v>
      </c>
      <c r="BS23" s="54">
        <v>2891170</v>
      </c>
      <c r="BT23" s="54">
        <v>2891170</v>
      </c>
      <c r="BU23" s="54">
        <v>2937038</v>
      </c>
      <c r="BV23" s="54">
        <v>2957277</v>
      </c>
      <c r="BW23" s="54">
        <v>2987076</v>
      </c>
      <c r="BX23" s="54">
        <v>2350461</v>
      </c>
    </row>
    <row r="24" spans="1:78" x14ac:dyDescent="0.3">
      <c r="B24" s="23" t="s">
        <v>114</v>
      </c>
      <c r="C24" s="55">
        <v>0</v>
      </c>
      <c r="D24" s="55">
        <v>0</v>
      </c>
      <c r="E24" s="55">
        <v>0</v>
      </c>
      <c r="F24" s="55">
        <v>0</v>
      </c>
      <c r="G24" s="55">
        <v>0</v>
      </c>
      <c r="H24" s="55">
        <v>0</v>
      </c>
      <c r="I24" s="54">
        <v>3250000</v>
      </c>
      <c r="J24" s="54">
        <v>43162.733</v>
      </c>
      <c r="K24" s="55">
        <v>158194</v>
      </c>
      <c r="L24" s="55">
        <v>158194</v>
      </c>
      <c r="M24" s="54">
        <v>1297767</v>
      </c>
      <c r="N24" s="54">
        <v>159285</v>
      </c>
      <c r="O24" s="54">
        <v>2138300</v>
      </c>
      <c r="P24" s="55">
        <v>898035</v>
      </c>
      <c r="Q24" s="55">
        <v>898035</v>
      </c>
      <c r="R24" s="54">
        <v>587035</v>
      </c>
      <c r="S24" s="54">
        <v>0</v>
      </c>
      <c r="T24" s="55">
        <v>200000</v>
      </c>
      <c r="U24" s="55">
        <v>1121095</v>
      </c>
      <c r="V24" s="55">
        <v>1121095</v>
      </c>
      <c r="W24" s="54">
        <v>906736</v>
      </c>
      <c r="X24" s="54">
        <v>0</v>
      </c>
      <c r="Y24" s="54">
        <v>0</v>
      </c>
      <c r="Z24" s="55">
        <v>0</v>
      </c>
      <c r="AA24" s="55">
        <v>0</v>
      </c>
      <c r="AB24" s="54">
        <v>100000</v>
      </c>
      <c r="AC24" s="54">
        <v>0</v>
      </c>
      <c r="AD24" s="54">
        <v>366000</v>
      </c>
      <c r="AE24" s="55">
        <v>0</v>
      </c>
      <c r="AF24" s="55">
        <v>0</v>
      </c>
      <c r="AG24" s="54">
        <v>0</v>
      </c>
      <c r="AH24" s="54">
        <v>0</v>
      </c>
      <c r="AI24" s="54">
        <v>0</v>
      </c>
      <c r="AJ24" s="55">
        <v>395312</v>
      </c>
      <c r="AK24" s="55">
        <v>395312</v>
      </c>
      <c r="AL24" s="54"/>
      <c r="AM24" s="54"/>
      <c r="AN24" s="54">
        <v>369041</v>
      </c>
      <c r="AO24" s="55">
        <v>347951</v>
      </c>
      <c r="AP24" s="55">
        <v>347951</v>
      </c>
      <c r="AQ24" s="54">
        <v>325695</v>
      </c>
      <c r="AR24" s="54">
        <v>389457</v>
      </c>
      <c r="AS24" s="54">
        <v>655171</v>
      </c>
      <c r="AT24" s="55">
        <v>792432</v>
      </c>
      <c r="AU24" s="55">
        <v>792432</v>
      </c>
      <c r="AV24" s="54">
        <v>695263</v>
      </c>
      <c r="AW24" s="54">
        <v>745560</v>
      </c>
      <c r="AX24" s="54">
        <v>765676</v>
      </c>
      <c r="AY24" s="55">
        <v>840301</v>
      </c>
      <c r="AZ24" s="55">
        <v>840301</v>
      </c>
      <c r="BA24" s="54">
        <v>862131</v>
      </c>
      <c r="BB24" s="54">
        <v>1255037</v>
      </c>
      <c r="BC24" s="54">
        <v>9898609</v>
      </c>
      <c r="BD24" s="54">
        <v>1066873</v>
      </c>
      <c r="BE24" s="54">
        <v>1066873</v>
      </c>
      <c r="BF24" s="54">
        <v>869412</v>
      </c>
      <c r="BG24" s="54">
        <v>755165</v>
      </c>
      <c r="BH24" s="54">
        <v>762750</v>
      </c>
      <c r="BI24" s="54">
        <v>762751</v>
      </c>
      <c r="BJ24" s="54">
        <v>762751</v>
      </c>
      <c r="BK24" s="54">
        <v>614653</v>
      </c>
      <c r="BL24" s="54">
        <v>555162</v>
      </c>
      <c r="BM24" s="54">
        <v>869960</v>
      </c>
      <c r="BN24" s="54">
        <v>647584</v>
      </c>
      <c r="BO24" s="54">
        <v>647584</v>
      </c>
      <c r="BP24" s="54">
        <v>0</v>
      </c>
      <c r="BQ24" s="54">
        <v>0</v>
      </c>
      <c r="BR24" s="54">
        <v>0</v>
      </c>
      <c r="BS24" s="54">
        <v>0</v>
      </c>
      <c r="BT24" s="23">
        <v>0</v>
      </c>
      <c r="BU24" s="23">
        <v>0</v>
      </c>
      <c r="BV24" s="54">
        <v>0</v>
      </c>
      <c r="BW24" s="54">
        <v>285000</v>
      </c>
      <c r="BX24" s="54">
        <v>91209</v>
      </c>
    </row>
    <row r="25" spans="1:78" x14ac:dyDescent="0.3">
      <c r="B25" s="23" t="s">
        <v>424</v>
      </c>
      <c r="C25" s="55">
        <v>0</v>
      </c>
      <c r="D25" s="55">
        <v>0</v>
      </c>
      <c r="E25" s="55">
        <v>0</v>
      </c>
      <c r="F25" s="55">
        <v>0</v>
      </c>
      <c r="G25" s="55">
        <v>0</v>
      </c>
      <c r="H25" s="55">
        <v>0</v>
      </c>
      <c r="I25" s="55">
        <v>0</v>
      </c>
      <c r="J25" s="55">
        <v>0</v>
      </c>
      <c r="K25" s="55">
        <v>0</v>
      </c>
      <c r="L25" s="55">
        <v>0</v>
      </c>
      <c r="M25" s="55">
        <v>0</v>
      </c>
      <c r="N25" s="54">
        <v>1328397</v>
      </c>
      <c r="O25" s="54">
        <v>1340790</v>
      </c>
      <c r="P25" s="55">
        <v>2341590</v>
      </c>
      <c r="Q25" s="55">
        <v>2341590</v>
      </c>
      <c r="R25" s="54">
        <v>2394546</v>
      </c>
      <c r="S25" s="54">
        <v>2472689</v>
      </c>
      <c r="T25" s="55">
        <v>2590559</v>
      </c>
      <c r="U25" s="55">
        <v>2854011</v>
      </c>
      <c r="V25" s="55">
        <v>2854011</v>
      </c>
      <c r="W25" s="54">
        <v>3012762</v>
      </c>
      <c r="X25" s="54">
        <v>3161296</v>
      </c>
      <c r="Y25" s="54">
        <v>3266326</v>
      </c>
      <c r="Z25" s="55">
        <v>3113889</v>
      </c>
      <c r="AA25" s="55">
        <v>3113889</v>
      </c>
      <c r="AB25" s="54">
        <v>3101499</v>
      </c>
      <c r="AC25" s="54">
        <v>3014319</v>
      </c>
      <c r="AD25" s="54">
        <v>3068698</v>
      </c>
      <c r="AE25" s="55">
        <v>5178900</v>
      </c>
      <c r="AF25" s="55">
        <v>5178900</v>
      </c>
      <c r="AG25" s="54">
        <v>4688654</v>
      </c>
      <c r="AH25" s="54">
        <v>4195509</v>
      </c>
      <c r="AI25" s="54">
        <v>4235072</v>
      </c>
      <c r="AJ25" s="55">
        <v>4364675</v>
      </c>
      <c r="AK25" s="55">
        <v>4364675</v>
      </c>
      <c r="AL25" s="54">
        <v>4210293</v>
      </c>
      <c r="AM25" s="54">
        <v>4565469</v>
      </c>
      <c r="AN25" s="54">
        <v>4247003</v>
      </c>
      <c r="AO25" s="55">
        <v>5420134</v>
      </c>
      <c r="AP25" s="55">
        <v>5420134</v>
      </c>
      <c r="AQ25" s="54">
        <v>6589496</v>
      </c>
      <c r="AR25" s="54">
        <v>6555639</v>
      </c>
      <c r="AS25" s="54">
        <v>6577800</v>
      </c>
      <c r="AT25" s="55">
        <v>7657301</v>
      </c>
      <c r="AU25" s="55">
        <v>7657301</v>
      </c>
      <c r="AV25" s="54">
        <v>7591604</v>
      </c>
      <c r="AW25" s="54">
        <v>8067570</v>
      </c>
      <c r="AX25" s="54">
        <v>8147930</v>
      </c>
      <c r="AY25" s="55">
        <v>9510584</v>
      </c>
      <c r="AZ25" s="55">
        <v>9510584</v>
      </c>
      <c r="BA25" s="54">
        <v>9666172</v>
      </c>
      <c r="BB25" s="54">
        <v>9886000</v>
      </c>
      <c r="BC25" s="54">
        <v>1527464</v>
      </c>
      <c r="BD25" s="54">
        <v>9957484</v>
      </c>
      <c r="BE25" s="54">
        <v>9957484</v>
      </c>
      <c r="BF25" s="54">
        <v>10025151</v>
      </c>
      <c r="BG25" s="54">
        <v>10203760</v>
      </c>
      <c r="BH25" s="54">
        <v>10175179</v>
      </c>
      <c r="BI25" s="54">
        <v>10679088</v>
      </c>
      <c r="BJ25" s="54">
        <v>10679088</v>
      </c>
      <c r="BK25" s="54">
        <v>10841614</v>
      </c>
      <c r="BL25" s="54">
        <v>9737813</v>
      </c>
      <c r="BM25" s="54">
        <v>9753407</v>
      </c>
      <c r="BN25" s="54">
        <v>9892099</v>
      </c>
      <c r="BO25" s="54">
        <v>9892099</v>
      </c>
      <c r="BP25" s="54">
        <v>9896867</v>
      </c>
      <c r="BQ25" s="54">
        <v>9925945</v>
      </c>
      <c r="BR25" s="54">
        <v>12339274</v>
      </c>
      <c r="BS25" s="54">
        <v>10594738</v>
      </c>
      <c r="BT25" s="54">
        <v>10594738</v>
      </c>
      <c r="BU25" s="54">
        <v>10554109</v>
      </c>
      <c r="BV25" s="54">
        <v>10758166</v>
      </c>
      <c r="BW25" s="54">
        <v>10776458</v>
      </c>
      <c r="BX25" s="54">
        <v>11843525</v>
      </c>
    </row>
    <row r="26" spans="1:78" x14ac:dyDescent="0.3">
      <c r="B26" s="23" t="s">
        <v>140</v>
      </c>
      <c r="C26" s="55"/>
      <c r="D26" s="55"/>
      <c r="E26" s="55"/>
      <c r="F26" s="55"/>
      <c r="G26" s="55"/>
      <c r="H26" s="55"/>
      <c r="I26" s="55"/>
      <c r="J26" s="55"/>
      <c r="K26" s="55"/>
      <c r="L26" s="55"/>
      <c r="M26" s="55"/>
      <c r="N26" s="54"/>
      <c r="O26" s="54"/>
      <c r="P26" s="55"/>
      <c r="Q26" s="55"/>
      <c r="R26" s="54"/>
      <c r="S26" s="54"/>
      <c r="T26" s="55"/>
      <c r="U26" s="55"/>
      <c r="V26" s="55"/>
      <c r="W26" s="54"/>
      <c r="X26" s="54"/>
      <c r="Y26" s="54"/>
      <c r="Z26" s="55"/>
      <c r="AA26" s="55"/>
      <c r="AB26" s="54"/>
      <c r="AC26" s="54"/>
      <c r="AD26" s="54"/>
      <c r="AE26" s="55"/>
      <c r="AF26" s="55"/>
      <c r="AG26" s="54"/>
      <c r="AH26" s="54"/>
      <c r="AI26" s="54"/>
      <c r="AJ26" s="55"/>
      <c r="AK26" s="55"/>
      <c r="AL26" s="54"/>
      <c r="AM26" s="54"/>
      <c r="AN26" s="54"/>
      <c r="AO26" s="55"/>
      <c r="AP26" s="55"/>
      <c r="AQ26" s="54"/>
      <c r="AR26" s="54"/>
      <c r="AS26" s="54"/>
      <c r="AT26" s="55"/>
      <c r="AU26" s="55"/>
      <c r="AV26" s="54"/>
      <c r="AW26" s="54"/>
      <c r="AX26" s="54"/>
      <c r="AY26" s="55"/>
      <c r="AZ26" s="55"/>
      <c r="BA26" s="54"/>
      <c r="BB26" s="54"/>
      <c r="BC26" s="54"/>
      <c r="BD26" s="54"/>
      <c r="BE26" s="54"/>
      <c r="BF26" s="54"/>
      <c r="BG26" s="54"/>
      <c r="BH26" s="54"/>
      <c r="BI26" s="54"/>
      <c r="BJ26" s="54"/>
      <c r="BK26" s="54"/>
      <c r="BL26" s="54"/>
      <c r="BM26" s="54"/>
      <c r="BN26" s="54"/>
      <c r="BO26" s="54"/>
      <c r="BP26" s="54"/>
      <c r="BQ26" s="54"/>
      <c r="BR26" s="54"/>
      <c r="BS26" s="54"/>
      <c r="BT26" s="54">
        <v>0</v>
      </c>
      <c r="BU26" s="54">
        <v>0</v>
      </c>
      <c r="BV26" s="54">
        <v>0</v>
      </c>
      <c r="BW26" s="54">
        <v>0</v>
      </c>
      <c r="BX26" s="54">
        <v>155927</v>
      </c>
    </row>
    <row r="27" spans="1:78" x14ac:dyDescent="0.3">
      <c r="B27" s="23" t="s">
        <v>115</v>
      </c>
      <c r="C27" s="55"/>
      <c r="D27" s="55"/>
      <c r="E27" s="55"/>
      <c r="F27" s="55"/>
      <c r="G27" s="55"/>
      <c r="H27" s="55"/>
      <c r="I27" s="55"/>
      <c r="J27" s="55"/>
      <c r="K27" s="55"/>
      <c r="L27" s="55"/>
      <c r="M27" s="55"/>
      <c r="N27" s="54"/>
      <c r="O27" s="54"/>
      <c r="P27" s="55"/>
      <c r="Q27" s="55"/>
      <c r="R27" s="54"/>
      <c r="S27" s="54"/>
      <c r="T27" s="55"/>
      <c r="U27" s="55"/>
      <c r="V27" s="55"/>
      <c r="W27" s="54"/>
      <c r="X27" s="54"/>
      <c r="Y27" s="54"/>
      <c r="Z27" s="55"/>
      <c r="AA27" s="55"/>
      <c r="AB27" s="54"/>
      <c r="AC27" s="54"/>
      <c r="AD27" s="54"/>
      <c r="AE27" s="55"/>
      <c r="AF27" s="55"/>
      <c r="AG27" s="54"/>
      <c r="AH27" s="54"/>
      <c r="AI27" s="54"/>
      <c r="AJ27" s="55">
        <v>1262464</v>
      </c>
      <c r="AK27" s="55">
        <v>1262464</v>
      </c>
      <c r="AL27" s="54">
        <v>1262464</v>
      </c>
      <c r="AM27" s="54">
        <v>1262464</v>
      </c>
      <c r="AN27" s="54">
        <v>1262464</v>
      </c>
      <c r="AO27" s="55">
        <v>1262464</v>
      </c>
      <c r="AP27" s="55">
        <v>1262464</v>
      </c>
      <c r="AQ27" s="54">
        <v>1262464</v>
      </c>
      <c r="AR27" s="54">
        <v>1262464</v>
      </c>
      <c r="AS27" s="54">
        <v>1262464</v>
      </c>
      <c r="AT27" s="55">
        <v>1262464</v>
      </c>
      <c r="AU27" s="55">
        <v>1262464</v>
      </c>
      <c r="AV27" s="54">
        <v>1262464</v>
      </c>
      <c r="AW27" s="54">
        <v>1262464</v>
      </c>
      <c r="AX27" s="54">
        <v>1262464</v>
      </c>
      <c r="AY27" s="55">
        <v>1527464</v>
      </c>
      <c r="AZ27" s="55">
        <v>1527464</v>
      </c>
      <c r="BA27" s="54">
        <v>1527464</v>
      </c>
      <c r="BB27" s="54">
        <v>1527464</v>
      </c>
      <c r="BC27" s="54">
        <v>1168025</v>
      </c>
      <c r="BD27" s="54">
        <v>1561891</v>
      </c>
      <c r="BE27" s="54">
        <v>1561891</v>
      </c>
      <c r="BF27" s="54">
        <v>1561891</v>
      </c>
      <c r="BG27" s="54">
        <v>1561891</v>
      </c>
      <c r="BH27" s="54">
        <v>1561891</v>
      </c>
      <c r="BI27" s="54">
        <v>1596636</v>
      </c>
      <c r="BJ27" s="54">
        <v>1596636</v>
      </c>
      <c r="BK27" s="54">
        <v>1596636</v>
      </c>
      <c r="BL27" s="54">
        <v>1596636</v>
      </c>
      <c r="BM27" s="54">
        <v>1596636</v>
      </c>
      <c r="BN27" s="54">
        <v>1603276</v>
      </c>
      <c r="BO27" s="54">
        <v>1603276</v>
      </c>
      <c r="BP27" s="54">
        <v>1603276</v>
      </c>
      <c r="BQ27" s="54">
        <v>1603276</v>
      </c>
      <c r="BR27" s="54">
        <v>1603276</v>
      </c>
      <c r="BS27" s="54">
        <v>0</v>
      </c>
      <c r="BT27" s="54">
        <v>0</v>
      </c>
      <c r="BU27" s="54">
        <v>0</v>
      </c>
      <c r="BV27" s="54">
        <v>0</v>
      </c>
      <c r="BW27" s="54">
        <v>0</v>
      </c>
      <c r="BX27" s="54">
        <v>0</v>
      </c>
    </row>
    <row r="28" spans="1:78" x14ac:dyDescent="0.3">
      <c r="B28" s="23" t="s">
        <v>116</v>
      </c>
      <c r="C28" s="55"/>
      <c r="D28" s="55"/>
      <c r="E28" s="55"/>
      <c r="F28" s="55"/>
      <c r="G28" s="55"/>
      <c r="H28" s="55"/>
      <c r="I28" s="55"/>
      <c r="J28" s="55"/>
      <c r="K28" s="55"/>
      <c r="L28" s="55"/>
      <c r="M28" s="55"/>
      <c r="N28" s="54"/>
      <c r="O28" s="54"/>
      <c r="P28" s="55"/>
      <c r="Q28" s="55"/>
      <c r="R28" s="54"/>
      <c r="S28" s="54"/>
      <c r="T28" s="55"/>
      <c r="U28" s="55"/>
      <c r="V28" s="55"/>
      <c r="W28" s="54"/>
      <c r="X28" s="54"/>
      <c r="Y28" s="54"/>
      <c r="Z28" s="55"/>
      <c r="AA28" s="55"/>
      <c r="AB28" s="54"/>
      <c r="AC28" s="54"/>
      <c r="AD28" s="54">
        <v>451325</v>
      </c>
      <c r="AE28" s="55">
        <v>515055</v>
      </c>
      <c r="AF28" s="55">
        <v>515055</v>
      </c>
      <c r="AG28" s="54">
        <v>1516</v>
      </c>
      <c r="AH28" s="54">
        <v>368</v>
      </c>
      <c r="AI28" s="54">
        <v>83</v>
      </c>
      <c r="AJ28" s="55">
        <v>443698</v>
      </c>
      <c r="AK28" s="55">
        <v>443698</v>
      </c>
      <c r="AL28" s="54">
        <v>35</v>
      </c>
      <c r="AM28" s="54">
        <v>0</v>
      </c>
      <c r="AN28" s="54">
        <v>0</v>
      </c>
      <c r="AO28" s="55">
        <v>267245</v>
      </c>
      <c r="AP28" s="55">
        <v>267245</v>
      </c>
      <c r="AQ28" s="54"/>
      <c r="AR28" s="54"/>
      <c r="AS28" s="54"/>
      <c r="AT28" s="55"/>
      <c r="AU28" s="55">
        <v>30232</v>
      </c>
      <c r="AV28" s="54">
        <v>2826651</v>
      </c>
      <c r="AW28" s="54">
        <v>1974419</v>
      </c>
      <c r="AX28" s="54">
        <v>1609197</v>
      </c>
      <c r="AY28" s="55">
        <v>375330</v>
      </c>
      <c r="AZ28" s="55">
        <v>1361601</v>
      </c>
      <c r="BA28" s="54">
        <v>1091790</v>
      </c>
      <c r="BB28" s="54">
        <v>972192</v>
      </c>
      <c r="BC28" s="54">
        <v>972527</v>
      </c>
      <c r="BD28" s="54">
        <v>1083513</v>
      </c>
      <c r="BE28" s="54">
        <v>1083513</v>
      </c>
      <c r="BF28" s="54">
        <v>416777</v>
      </c>
      <c r="BG28" s="54">
        <v>692639</v>
      </c>
      <c r="BH28" s="54">
        <v>481677</v>
      </c>
      <c r="BI28" s="54">
        <v>190284</v>
      </c>
      <c r="BJ28" s="54">
        <v>190264</v>
      </c>
      <c r="BK28" s="54">
        <v>155445</v>
      </c>
      <c r="BL28" s="54">
        <v>124792</v>
      </c>
      <c r="BM28" s="54">
        <v>112017</v>
      </c>
      <c r="BN28" s="54">
        <v>99365</v>
      </c>
      <c r="BO28" s="54">
        <v>99365</v>
      </c>
      <c r="BP28" s="54">
        <v>22873</v>
      </c>
      <c r="BQ28" s="54">
        <v>180871</v>
      </c>
      <c r="BR28" s="54">
        <v>110238</v>
      </c>
      <c r="BS28" s="54">
        <v>684777</v>
      </c>
      <c r="BT28" s="54">
        <v>684777</v>
      </c>
      <c r="BU28" s="54">
        <v>1054</v>
      </c>
      <c r="BV28" s="54">
        <v>197086</v>
      </c>
      <c r="BW28" s="54">
        <v>226253</v>
      </c>
      <c r="BX28" s="54">
        <v>0</v>
      </c>
    </row>
    <row r="29" spans="1:78" x14ac:dyDescent="0.3">
      <c r="B29" s="23" t="s">
        <v>409</v>
      </c>
      <c r="C29" s="55">
        <v>0</v>
      </c>
      <c r="D29" s="55">
        <v>0</v>
      </c>
      <c r="E29" s="55">
        <v>14866.539000000001</v>
      </c>
      <c r="F29" s="54">
        <v>11481.450999999999</v>
      </c>
      <c r="G29" s="54">
        <v>11481.450999999999</v>
      </c>
      <c r="H29" s="54">
        <v>20170.831999999999</v>
      </c>
      <c r="I29" s="54">
        <v>59291.442000000003</v>
      </c>
      <c r="J29" s="54">
        <v>34419.555999999997</v>
      </c>
      <c r="K29" s="54">
        <v>416</v>
      </c>
      <c r="L29" s="54">
        <v>416</v>
      </c>
      <c r="M29" s="54">
        <v>2955</v>
      </c>
      <c r="N29" s="54">
        <v>481</v>
      </c>
      <c r="O29" s="54">
        <v>0</v>
      </c>
      <c r="P29" s="54">
        <v>2484474</v>
      </c>
      <c r="Q29" s="54">
        <v>2484474</v>
      </c>
      <c r="R29" s="54">
        <v>2435728</v>
      </c>
      <c r="S29" s="54">
        <v>2363782</v>
      </c>
      <c r="T29" s="55">
        <v>2315036</v>
      </c>
      <c r="U29" s="54">
        <v>2289490</v>
      </c>
      <c r="V29" s="54">
        <v>2289490</v>
      </c>
      <c r="W29" s="54">
        <v>2263944</v>
      </c>
      <c r="X29" s="54">
        <v>2245198</v>
      </c>
      <c r="Y29" s="54">
        <v>2173252</v>
      </c>
      <c r="Z29" s="54">
        <v>2121525</v>
      </c>
      <c r="AA29" s="54">
        <v>2121525</v>
      </c>
      <c r="AB29" s="54">
        <v>2071261</v>
      </c>
      <c r="AC29" s="54">
        <v>2021015</v>
      </c>
      <c r="AD29" s="54">
        <v>1970768</v>
      </c>
      <c r="AE29" s="55">
        <v>1920523</v>
      </c>
      <c r="AF29" s="55">
        <v>1920523</v>
      </c>
      <c r="AG29" s="54">
        <v>1870277</v>
      </c>
      <c r="AH29" s="54">
        <v>1809193</v>
      </c>
      <c r="AI29" s="54">
        <v>1758948</v>
      </c>
      <c r="AJ29" s="55">
        <v>1708942</v>
      </c>
      <c r="AK29" s="55">
        <v>1708942</v>
      </c>
      <c r="AL29" s="54">
        <v>1658696</v>
      </c>
      <c r="AM29" s="54">
        <v>1609094</v>
      </c>
      <c r="AN29" s="54">
        <v>1553584</v>
      </c>
      <c r="AO29" s="54">
        <v>1509958</v>
      </c>
      <c r="AP29" s="54">
        <v>1509958</v>
      </c>
      <c r="AQ29" s="54">
        <v>1509854</v>
      </c>
      <c r="AR29" s="54">
        <v>1473827</v>
      </c>
      <c r="AS29" s="54">
        <v>1437801</v>
      </c>
      <c r="AT29" s="54">
        <v>1401774</v>
      </c>
      <c r="AU29" s="54">
        <v>1401774</v>
      </c>
      <c r="AV29" s="54">
        <v>1374729</v>
      </c>
      <c r="AW29" s="54">
        <v>1370882</v>
      </c>
      <c r="AX29" s="54">
        <v>1350086</v>
      </c>
      <c r="AY29" s="54">
        <v>1324540</v>
      </c>
      <c r="AZ29" s="54">
        <v>1324540</v>
      </c>
      <c r="BA29" s="54">
        <v>2247508</v>
      </c>
      <c r="BB29" s="54">
        <v>1273448</v>
      </c>
      <c r="BC29" s="54">
        <v>1247902</v>
      </c>
      <c r="BD29" s="54">
        <v>1222356</v>
      </c>
      <c r="BE29" s="54">
        <v>1222356</v>
      </c>
      <c r="BF29" s="54">
        <v>1196810</v>
      </c>
      <c r="BG29" s="54">
        <v>1171264</v>
      </c>
      <c r="BH29" s="54">
        <v>1145718</v>
      </c>
      <c r="BI29" s="54">
        <v>1120172</v>
      </c>
      <c r="BJ29" s="54">
        <v>1120173</v>
      </c>
      <c r="BK29" s="54">
        <v>1094627</v>
      </c>
      <c r="BL29" s="54">
        <v>1069081</v>
      </c>
      <c r="BM29" s="54">
        <v>1043535</v>
      </c>
      <c r="BN29" s="54">
        <v>1017989</v>
      </c>
      <c r="BO29" s="54">
        <v>1017989</v>
      </c>
      <c r="BP29" s="54">
        <v>992443</v>
      </c>
      <c r="BQ29" s="54">
        <v>966897</v>
      </c>
      <c r="BR29" s="54">
        <v>941351</v>
      </c>
      <c r="BS29" s="54">
        <v>915805</v>
      </c>
      <c r="BT29" s="54">
        <v>915805</v>
      </c>
      <c r="BU29" s="54">
        <v>890259</v>
      </c>
      <c r="BV29" s="54">
        <v>864713</v>
      </c>
      <c r="BW29" s="54">
        <v>839167</v>
      </c>
      <c r="BX29" s="54">
        <v>813622</v>
      </c>
    </row>
    <row r="30" spans="1:78" x14ac:dyDescent="0.3">
      <c r="B30" s="23" t="s">
        <v>408</v>
      </c>
      <c r="C30" s="55"/>
      <c r="D30" s="55"/>
      <c r="E30" s="55"/>
      <c r="F30" s="54"/>
      <c r="G30" s="54"/>
      <c r="H30" s="54"/>
      <c r="I30" s="54"/>
      <c r="J30" s="54"/>
      <c r="K30" s="54"/>
      <c r="L30" s="54"/>
      <c r="M30" s="54"/>
      <c r="N30" s="54"/>
      <c r="O30" s="54"/>
      <c r="P30" s="54"/>
      <c r="Q30" s="54"/>
      <c r="R30" s="54"/>
      <c r="S30" s="54"/>
      <c r="T30" s="55"/>
      <c r="U30" s="54"/>
      <c r="V30" s="54"/>
      <c r="W30" s="54"/>
      <c r="X30" s="54"/>
      <c r="Y30" s="54"/>
      <c r="Z30" s="54"/>
      <c r="AA30" s="54"/>
      <c r="AB30" s="54"/>
      <c r="AC30" s="54"/>
      <c r="AD30" s="54"/>
      <c r="AE30" s="55"/>
      <c r="AF30" s="55"/>
      <c r="AG30" s="54"/>
      <c r="AH30" s="54"/>
      <c r="AI30" s="54"/>
      <c r="AJ30" s="55"/>
      <c r="AK30" s="55"/>
      <c r="AL30" s="54"/>
      <c r="AM30" s="54"/>
      <c r="AN30" s="54"/>
      <c r="AO30" s="54"/>
      <c r="AP30" s="54"/>
      <c r="AQ30" s="54"/>
      <c r="AR30" s="54"/>
      <c r="AS30" s="54"/>
      <c r="AT30" s="54"/>
      <c r="AU30" s="54"/>
      <c r="AV30" s="54"/>
      <c r="AW30" s="54"/>
      <c r="AX30" s="54"/>
      <c r="AY30" s="54"/>
      <c r="AZ30" s="54"/>
      <c r="BA30" s="54"/>
      <c r="BB30" s="54"/>
      <c r="BC30" s="54"/>
      <c r="BD30" s="54"/>
      <c r="BE30" s="54"/>
      <c r="BF30" s="54"/>
      <c r="BG30" s="54"/>
      <c r="BH30" s="54"/>
      <c r="BI30" s="54"/>
      <c r="BJ30" s="54"/>
      <c r="BK30" s="54"/>
      <c r="BL30" s="54"/>
      <c r="BM30" s="54"/>
      <c r="BN30" s="54"/>
      <c r="BO30" s="54"/>
      <c r="BP30" s="54"/>
      <c r="BQ30" s="54"/>
      <c r="BR30" s="54"/>
      <c r="BS30" s="54">
        <f>+[6]BG!$H29</f>
        <v>1621203</v>
      </c>
      <c r="BT30" s="54">
        <v>1621203</v>
      </c>
      <c r="BU30" s="54">
        <v>1574636</v>
      </c>
      <c r="BV30" s="54">
        <v>1397267</v>
      </c>
      <c r="BW30" s="54">
        <v>1363033</v>
      </c>
      <c r="BX30" s="54">
        <v>1233382</v>
      </c>
    </row>
    <row r="31" spans="1:78" s="51" customFormat="1" x14ac:dyDescent="0.3">
      <c r="A31" s="23"/>
      <c r="B31" s="51" t="s">
        <v>117</v>
      </c>
      <c r="C31" s="56">
        <f t="shared" ref="C31:AM31" si="6">SUM(C22:C29)</f>
        <v>4397451.1979999999</v>
      </c>
      <c r="D31" s="56">
        <f t="shared" si="6"/>
        <v>8181060.7659999998</v>
      </c>
      <c r="E31" s="56">
        <f t="shared" si="6"/>
        <v>8447493.4790000003</v>
      </c>
      <c r="F31" s="56">
        <f t="shared" si="6"/>
        <v>8415267.4379999992</v>
      </c>
      <c r="G31" s="56">
        <f>SUM(G22:G29)</f>
        <v>8414267.4379999992</v>
      </c>
      <c r="H31" s="56">
        <f t="shared" si="6"/>
        <v>11226642.577</v>
      </c>
      <c r="I31" s="56">
        <f t="shared" si="6"/>
        <v>16562724.177999999</v>
      </c>
      <c r="J31" s="56">
        <f t="shared" si="6"/>
        <v>29537454.804000001</v>
      </c>
      <c r="K31" s="56">
        <f t="shared" si="6"/>
        <v>30012065</v>
      </c>
      <c r="L31" s="56">
        <f>SUM(L22:L29)</f>
        <v>30012065</v>
      </c>
      <c r="M31" s="56">
        <f t="shared" si="6"/>
        <v>50256115</v>
      </c>
      <c r="N31" s="56">
        <f t="shared" si="6"/>
        <v>51123932</v>
      </c>
      <c r="O31" s="56">
        <f t="shared" si="6"/>
        <v>49718732</v>
      </c>
      <c r="P31" s="56">
        <f t="shared" si="6"/>
        <v>94629817</v>
      </c>
      <c r="Q31" s="56">
        <f>SUM(Q22:Q29)</f>
        <v>94629817</v>
      </c>
      <c r="R31" s="56">
        <f t="shared" si="6"/>
        <v>96899012</v>
      </c>
      <c r="S31" s="56">
        <f t="shared" si="6"/>
        <v>106870783</v>
      </c>
      <c r="T31" s="56">
        <f t="shared" si="6"/>
        <v>109491300</v>
      </c>
      <c r="U31" s="56">
        <f t="shared" si="6"/>
        <v>119567946</v>
      </c>
      <c r="V31" s="56">
        <f>SUM(V22:V29)</f>
        <v>119567946</v>
      </c>
      <c r="W31" s="56">
        <f t="shared" si="6"/>
        <v>124268563</v>
      </c>
      <c r="X31" s="56">
        <f t="shared" si="6"/>
        <v>143786295</v>
      </c>
      <c r="Y31" s="56">
        <f t="shared" si="6"/>
        <v>146899196</v>
      </c>
      <c r="Z31" s="56">
        <f t="shared" si="6"/>
        <v>157057536</v>
      </c>
      <c r="AA31" s="56">
        <f>SUM(AA22:AA29)</f>
        <v>157585348</v>
      </c>
      <c r="AB31" s="56">
        <f t="shared" si="6"/>
        <v>160794039</v>
      </c>
      <c r="AC31" s="56">
        <f t="shared" si="6"/>
        <v>168563583</v>
      </c>
      <c r="AD31" s="56">
        <f t="shared" si="6"/>
        <v>173099686</v>
      </c>
      <c r="AE31" s="56">
        <f t="shared" si="6"/>
        <v>180353756</v>
      </c>
      <c r="AF31" s="56">
        <f>SUM(AF22:AF29)</f>
        <v>180353756</v>
      </c>
      <c r="AG31" s="56">
        <f t="shared" si="6"/>
        <v>184771057</v>
      </c>
      <c r="AH31" s="56">
        <f t="shared" si="6"/>
        <v>189902163</v>
      </c>
      <c r="AI31" s="56">
        <f t="shared" si="6"/>
        <v>193025078</v>
      </c>
      <c r="AJ31" s="56">
        <f t="shared" si="6"/>
        <v>211239333</v>
      </c>
      <c r="AK31" s="56">
        <f>SUM(AK22:AK29)</f>
        <v>211239333</v>
      </c>
      <c r="AL31" s="56">
        <f t="shared" si="6"/>
        <v>213756977</v>
      </c>
      <c r="AM31" s="56">
        <f t="shared" si="6"/>
        <v>218017330</v>
      </c>
      <c r="AN31" s="56">
        <v>221520879</v>
      </c>
      <c r="AO31" s="56">
        <f t="shared" ref="AO31:AV31" si="7">SUM(AO22:AO29)</f>
        <v>232323287</v>
      </c>
      <c r="AP31" s="56">
        <f>SUM(AP22:AP29)</f>
        <v>232323287</v>
      </c>
      <c r="AQ31" s="56">
        <f t="shared" si="7"/>
        <v>237791939</v>
      </c>
      <c r="AR31" s="56">
        <f t="shared" si="7"/>
        <v>243175695</v>
      </c>
      <c r="AS31" s="56">
        <f t="shared" si="7"/>
        <v>247013438</v>
      </c>
      <c r="AT31" s="56">
        <f t="shared" si="7"/>
        <v>270696424</v>
      </c>
      <c r="AU31" s="56">
        <f>SUM(AU22:AU29)</f>
        <v>270629664</v>
      </c>
      <c r="AV31" s="56">
        <f t="shared" si="7"/>
        <v>275610803</v>
      </c>
      <c r="AW31" s="56">
        <v>285360951</v>
      </c>
      <c r="AX31" s="56">
        <f>SUM(AX22:AX29)</f>
        <v>289592559</v>
      </c>
      <c r="AY31" s="56">
        <f>SUM(AY21:AY30)</f>
        <v>291831611</v>
      </c>
      <c r="AZ31" s="56">
        <f>SUM(AZ21:AZ30)</f>
        <v>292817882</v>
      </c>
      <c r="BA31" s="56">
        <f t="shared" ref="BA31" si="8">SUM(BA22:BA29)</f>
        <v>298488976</v>
      </c>
      <c r="BB31" s="56">
        <f>SUM(BB21:BB29)</f>
        <v>297018899</v>
      </c>
      <c r="BC31" s="56">
        <f>SUM(BC21:BC29)</f>
        <v>298132020</v>
      </c>
      <c r="BD31" s="56">
        <f>SUM(BD21:BD30)</f>
        <v>302619368</v>
      </c>
      <c r="BE31" s="56">
        <f>SUM(BE21:BE30)</f>
        <v>302619368</v>
      </c>
      <c r="BF31" s="56">
        <f>SUM(BF21:BF29)</f>
        <v>304159585</v>
      </c>
      <c r="BG31" s="56">
        <f>SUM(BG21:BG29)</f>
        <v>309241435</v>
      </c>
      <c r="BH31" s="56">
        <f t="shared" ref="BH31" si="9">SUM(BH21:BH29)</f>
        <v>314215196</v>
      </c>
      <c r="BI31" s="56">
        <f>SUM(BI21:BI30)</f>
        <v>319176365</v>
      </c>
      <c r="BJ31" s="56">
        <f>SUM(BJ21:BJ30)</f>
        <v>319176346</v>
      </c>
      <c r="BK31" s="56">
        <f t="shared" ref="BK31:BQ31" si="10">SUM(BK21:BK29)</f>
        <v>321613358</v>
      </c>
      <c r="BL31" s="56">
        <f t="shared" si="10"/>
        <v>324202857</v>
      </c>
      <c r="BM31" s="56">
        <f t="shared" si="10"/>
        <v>325389536</v>
      </c>
      <c r="BN31" s="56">
        <f>SUM(BN21:BN30)</f>
        <v>328228400</v>
      </c>
      <c r="BO31" s="56">
        <f>SUM(BO21:BO30)</f>
        <v>328228400</v>
      </c>
      <c r="BP31" s="56">
        <f t="shared" si="10"/>
        <v>328834518</v>
      </c>
      <c r="BQ31" s="56">
        <f t="shared" si="10"/>
        <v>337486634</v>
      </c>
      <c r="BR31" s="56">
        <f>SUM(BR21:BR29)</f>
        <v>340861435</v>
      </c>
      <c r="BS31" s="56">
        <f>SUM(BS21:BS30)</f>
        <v>344555813</v>
      </c>
      <c r="BT31" s="56">
        <f>SUM(BT21:BT30)</f>
        <v>344555813</v>
      </c>
      <c r="BU31" s="56">
        <f t="shared" ref="BU31:BW31" si="11">SUM(BU20:BU30)</f>
        <v>344673396</v>
      </c>
      <c r="BV31" s="56">
        <f t="shared" si="11"/>
        <v>345489990</v>
      </c>
      <c r="BW31" s="56">
        <f t="shared" si="11"/>
        <v>346611488</v>
      </c>
      <c r="BX31" s="56">
        <f>SUM(BX20:BX30)</f>
        <v>378077690</v>
      </c>
      <c r="BZ31" s="190"/>
    </row>
    <row r="32" spans="1:78" ht="12.5" thickBot="1" x14ac:dyDescent="0.35">
      <c r="C32" s="54"/>
      <c r="D32" s="54"/>
      <c r="E32" s="54"/>
      <c r="F32" s="54"/>
      <c r="G32" s="54"/>
      <c r="H32" s="54"/>
      <c r="I32" s="54"/>
      <c r="J32" s="54"/>
      <c r="K32" s="54"/>
      <c r="L32" s="54"/>
      <c r="M32" s="54"/>
      <c r="N32" s="54"/>
      <c r="O32" s="54"/>
      <c r="P32" s="54"/>
      <c r="Q32" s="54"/>
      <c r="R32" s="54"/>
      <c r="S32" s="54"/>
      <c r="T32" s="54"/>
      <c r="U32" s="54"/>
      <c r="V32" s="54"/>
      <c r="W32" s="54"/>
      <c r="X32" s="54"/>
      <c r="Y32" s="54"/>
      <c r="Z32" s="54"/>
      <c r="AA32" s="54"/>
      <c r="AB32" s="54"/>
      <c r="AC32" s="54"/>
      <c r="AD32" s="54"/>
      <c r="AE32" s="54"/>
      <c r="AF32" s="54"/>
      <c r="AG32" s="54"/>
      <c r="AH32" s="54"/>
      <c r="AI32" s="54"/>
      <c r="AJ32" s="54"/>
      <c r="AK32" s="54"/>
      <c r="AL32" s="54"/>
      <c r="AM32" s="54"/>
      <c r="AN32" s="54"/>
      <c r="AO32" s="54"/>
      <c r="AP32" s="54"/>
      <c r="AQ32" s="54"/>
      <c r="AR32" s="54"/>
      <c r="AS32" s="54"/>
      <c r="AT32" s="54"/>
      <c r="AU32" s="54"/>
      <c r="AV32" s="54"/>
      <c r="AW32" s="54"/>
      <c r="AX32" s="54"/>
      <c r="AY32" s="54"/>
      <c r="AZ32" s="54"/>
      <c r="BA32" s="54"/>
      <c r="BB32" s="54"/>
      <c r="BC32" s="54"/>
      <c r="BD32" s="54"/>
      <c r="BE32" s="54"/>
      <c r="BF32" s="54"/>
      <c r="BG32" s="54"/>
      <c r="BH32" s="54"/>
      <c r="BI32" s="54"/>
      <c r="BJ32" s="54"/>
      <c r="BK32" s="54"/>
      <c r="BL32" s="54"/>
      <c r="BM32" s="54"/>
      <c r="BN32" s="54"/>
      <c r="BO32" s="54"/>
      <c r="BP32" s="54"/>
      <c r="BQ32" s="54"/>
      <c r="BR32" s="54"/>
      <c r="BS32" s="54"/>
      <c r="BT32" s="54"/>
      <c r="BU32" s="54"/>
      <c r="BV32" s="54"/>
      <c r="BW32" s="54"/>
      <c r="BX32" s="54"/>
    </row>
    <row r="33" spans="1:76" s="51" customFormat="1" ht="12.5" thickTop="1" x14ac:dyDescent="0.3">
      <c r="A33" s="23"/>
      <c r="B33" s="51" t="s">
        <v>118</v>
      </c>
      <c r="C33" s="57">
        <f>C31+C17</f>
        <v>7302698.4890000001</v>
      </c>
      <c r="D33" s="57">
        <f>D31+D17</f>
        <v>9759162.629999999</v>
      </c>
      <c r="E33" s="57">
        <f>E31+E17</f>
        <v>9776868.4790000003</v>
      </c>
      <c r="F33" s="57">
        <f>F17+F22+F29</f>
        <v>9220061.6009999998</v>
      </c>
      <c r="G33" s="57">
        <f>G31+G17</f>
        <v>9219061.6009999998</v>
      </c>
      <c r="H33" s="57">
        <f t="shared" ref="H33:AM33" si="12">H31+H17</f>
        <v>19172092.912999999</v>
      </c>
      <c r="I33" s="57">
        <f t="shared" si="12"/>
        <v>21684797.202</v>
      </c>
      <c r="J33" s="57">
        <f t="shared" si="12"/>
        <v>33861922.531000003</v>
      </c>
      <c r="K33" s="57">
        <f t="shared" si="12"/>
        <v>33796898</v>
      </c>
      <c r="L33" s="57">
        <f>L31+L17</f>
        <v>33785620</v>
      </c>
      <c r="M33" s="57">
        <f t="shared" si="12"/>
        <v>73323038</v>
      </c>
      <c r="N33" s="57">
        <f t="shared" si="12"/>
        <v>71775255</v>
      </c>
      <c r="O33" s="57">
        <f t="shared" si="12"/>
        <v>67327144</v>
      </c>
      <c r="P33" s="57">
        <f t="shared" si="12"/>
        <v>101329995</v>
      </c>
      <c r="Q33" s="57">
        <f>Q31+Q17</f>
        <v>101204386</v>
      </c>
      <c r="R33" s="57">
        <f t="shared" si="12"/>
        <v>103143526</v>
      </c>
      <c r="S33" s="57">
        <f t="shared" si="12"/>
        <v>140513258</v>
      </c>
      <c r="T33" s="57">
        <f t="shared" si="12"/>
        <v>138816588</v>
      </c>
      <c r="U33" s="57">
        <f t="shared" si="12"/>
        <v>143615134</v>
      </c>
      <c r="V33" s="57">
        <f>V31+V17</f>
        <v>143615134</v>
      </c>
      <c r="W33" s="57">
        <f t="shared" si="12"/>
        <v>155364777</v>
      </c>
      <c r="X33" s="57">
        <f t="shared" si="12"/>
        <v>157112890</v>
      </c>
      <c r="Y33" s="57">
        <f t="shared" si="12"/>
        <v>157423594</v>
      </c>
      <c r="Z33" s="57">
        <f t="shared" si="12"/>
        <v>170773341</v>
      </c>
      <c r="AA33" s="57">
        <f>AA31+AA17</f>
        <v>171301153</v>
      </c>
      <c r="AB33" s="57">
        <f t="shared" si="12"/>
        <v>172977889</v>
      </c>
      <c r="AC33" s="57">
        <f t="shared" si="12"/>
        <v>183889832</v>
      </c>
      <c r="AD33" s="57">
        <f t="shared" si="12"/>
        <v>184834408</v>
      </c>
      <c r="AE33" s="57">
        <f t="shared" si="12"/>
        <v>192026977</v>
      </c>
      <c r="AF33" s="57">
        <f>AF31+AF17</f>
        <v>192026977</v>
      </c>
      <c r="AG33" s="57">
        <f t="shared" si="12"/>
        <v>194521959</v>
      </c>
      <c r="AH33" s="57">
        <f t="shared" si="12"/>
        <v>198879669</v>
      </c>
      <c r="AI33" s="57">
        <f t="shared" si="12"/>
        <v>200893767</v>
      </c>
      <c r="AJ33" s="57">
        <f t="shared" si="12"/>
        <v>223317510</v>
      </c>
      <c r="AK33" s="57">
        <f>AK31+AK17</f>
        <v>223317510</v>
      </c>
      <c r="AL33" s="57">
        <f t="shared" si="12"/>
        <v>224199262</v>
      </c>
      <c r="AM33" s="57">
        <f t="shared" si="12"/>
        <v>228276133</v>
      </c>
      <c r="AN33" s="57">
        <v>233658164</v>
      </c>
      <c r="AO33" s="57">
        <f t="shared" ref="AO33:AV33" si="13">AO31+AO17</f>
        <v>242795015</v>
      </c>
      <c r="AP33" s="57">
        <f>AP31+AP17</f>
        <v>242795015</v>
      </c>
      <c r="AQ33" s="57">
        <f t="shared" si="13"/>
        <v>248200458</v>
      </c>
      <c r="AR33" s="57">
        <f t="shared" si="13"/>
        <v>268599891</v>
      </c>
      <c r="AS33" s="57">
        <f t="shared" si="13"/>
        <v>267592517</v>
      </c>
      <c r="AT33" s="57">
        <f t="shared" si="13"/>
        <v>282781979</v>
      </c>
      <c r="AU33" s="57">
        <f>AU31+AU17</f>
        <v>282114142</v>
      </c>
      <c r="AV33" s="57">
        <f t="shared" si="13"/>
        <v>288592992</v>
      </c>
      <c r="AW33" s="57">
        <v>309279387</v>
      </c>
      <c r="AX33" s="57">
        <f>AX17+AX31</f>
        <v>316786217</v>
      </c>
      <c r="AY33" s="57">
        <f>AY17+AY31</f>
        <v>307067985</v>
      </c>
      <c r="AZ33" s="57">
        <f>AZ31+AZ17</f>
        <v>308054256</v>
      </c>
      <c r="BA33" s="57">
        <f t="shared" ref="BA33" si="14">BA31+BA17</f>
        <v>311614671</v>
      </c>
      <c r="BB33" s="57">
        <f>BB31+BB17</f>
        <v>308632067</v>
      </c>
      <c r="BC33" s="57">
        <f>BC31+BC17</f>
        <v>309242276</v>
      </c>
      <c r="BD33" s="57">
        <f>BD31+BD17</f>
        <v>316621511</v>
      </c>
      <c r="BE33" s="57">
        <f>BE31+BE17</f>
        <v>316621511</v>
      </c>
      <c r="BF33" s="57">
        <f t="shared" ref="BF33:BH33" si="15">BF31+BF17</f>
        <v>316901675</v>
      </c>
      <c r="BG33" s="57">
        <f t="shared" si="15"/>
        <v>322520154</v>
      </c>
      <c r="BH33" s="57">
        <f t="shared" si="15"/>
        <v>327509707</v>
      </c>
      <c r="BI33" s="57">
        <f t="shared" ref="BI33:BS33" si="16">BI31+BI17</f>
        <v>338312001</v>
      </c>
      <c r="BJ33" s="57">
        <f t="shared" si="16"/>
        <v>338312001</v>
      </c>
      <c r="BK33" s="57">
        <f t="shared" si="16"/>
        <v>336637671</v>
      </c>
      <c r="BL33" s="57">
        <f t="shared" si="16"/>
        <v>336573658</v>
      </c>
      <c r="BM33" s="57">
        <f t="shared" si="16"/>
        <v>336390116</v>
      </c>
      <c r="BN33" s="57">
        <f t="shared" si="16"/>
        <v>338633765</v>
      </c>
      <c r="BO33" s="57">
        <f t="shared" si="16"/>
        <v>338633765</v>
      </c>
      <c r="BP33" s="57">
        <f t="shared" si="16"/>
        <v>339662690</v>
      </c>
      <c r="BQ33" s="57">
        <f t="shared" si="16"/>
        <v>349703565</v>
      </c>
      <c r="BR33" s="57">
        <f>BR31+BR17</f>
        <v>350750846</v>
      </c>
      <c r="BS33" s="57">
        <f t="shared" si="16"/>
        <v>354843737</v>
      </c>
      <c r="BT33" s="57">
        <f t="shared" ref="BT33:BV33" si="17">BT31+BT17</f>
        <v>354843738</v>
      </c>
      <c r="BU33" s="57">
        <f t="shared" si="17"/>
        <v>353097846</v>
      </c>
      <c r="BV33" s="57">
        <f t="shared" si="17"/>
        <v>356335907</v>
      </c>
      <c r="BW33" s="57">
        <f>BW31+BW17</f>
        <v>356390388</v>
      </c>
      <c r="BX33" s="57">
        <f t="shared" ref="BX33" si="18">BX31+BX17</f>
        <v>414841337</v>
      </c>
    </row>
    <row r="34" spans="1:76" x14ac:dyDescent="0.3">
      <c r="C34" s="54" t="s">
        <v>108</v>
      </c>
      <c r="D34" s="54"/>
      <c r="E34" s="54"/>
      <c r="F34" s="58"/>
      <c r="G34" s="58"/>
      <c r="H34" s="54"/>
      <c r="I34" s="54"/>
      <c r="J34" s="54"/>
      <c r="K34" s="58"/>
      <c r="L34" s="58"/>
      <c r="M34" s="54"/>
      <c r="N34" s="54"/>
      <c r="O34" s="54"/>
      <c r="P34" s="58"/>
      <c r="Q34" s="58"/>
      <c r="R34" s="54"/>
      <c r="S34" s="54"/>
      <c r="T34" s="54"/>
      <c r="U34" s="58"/>
      <c r="V34" s="58"/>
      <c r="W34" s="54"/>
      <c r="X34" s="54"/>
      <c r="Y34" s="54"/>
      <c r="Z34" s="58"/>
      <c r="AA34" s="58"/>
      <c r="AB34" s="58"/>
      <c r="AC34" s="58"/>
      <c r="AD34" s="58"/>
      <c r="AE34" s="58"/>
      <c r="AF34" s="58"/>
      <c r="AG34" s="54"/>
      <c r="AH34" s="58"/>
      <c r="AI34" s="58"/>
      <c r="AJ34" s="54"/>
      <c r="AK34" s="54"/>
      <c r="AL34" s="58"/>
      <c r="AM34" s="58"/>
      <c r="AN34" s="58"/>
      <c r="AO34" s="58"/>
      <c r="AP34" s="58"/>
      <c r="AQ34" s="58"/>
      <c r="AR34" s="47"/>
      <c r="AS34" s="47"/>
      <c r="AT34" s="58"/>
      <c r="AU34" s="58"/>
      <c r="AV34" s="58"/>
      <c r="AW34" s="47"/>
      <c r="AX34" s="47"/>
      <c r="AY34" s="58"/>
      <c r="AZ34" s="58"/>
      <c r="BA34" s="58"/>
      <c r="BB34" s="58"/>
      <c r="BC34" s="58"/>
      <c r="BD34" s="58"/>
      <c r="BE34" s="58"/>
      <c r="BF34" s="58"/>
      <c r="BG34" s="58"/>
      <c r="BH34" s="58"/>
      <c r="BI34" s="58"/>
      <c r="BJ34" s="58"/>
      <c r="BK34" s="58"/>
      <c r="BL34" s="58"/>
      <c r="BM34" s="58"/>
      <c r="BN34" s="58"/>
      <c r="BO34" s="58"/>
      <c r="BP34" s="58"/>
      <c r="BQ34" s="58"/>
      <c r="BR34" s="58"/>
      <c r="BS34" s="58"/>
      <c r="BT34" s="58"/>
      <c r="BU34" s="58"/>
      <c r="BV34" s="58"/>
      <c r="BW34" s="58"/>
      <c r="BX34" s="58"/>
    </row>
    <row r="35" spans="1:76" x14ac:dyDescent="0.3">
      <c r="A35" s="51"/>
      <c r="B35" s="51" t="s">
        <v>427</v>
      </c>
      <c r="C35" s="54"/>
      <c r="D35" s="54"/>
      <c r="E35" s="54"/>
      <c r="F35" s="54"/>
      <c r="G35" s="54"/>
      <c r="H35" s="54"/>
      <c r="I35" s="54"/>
      <c r="J35" s="54"/>
      <c r="K35" s="54"/>
      <c r="L35" s="54"/>
      <c r="M35" s="54"/>
      <c r="N35" s="54"/>
      <c r="O35" s="54"/>
      <c r="P35" s="54"/>
      <c r="Q35" s="54"/>
      <c r="R35" s="54"/>
      <c r="S35" s="54"/>
      <c r="T35" s="54"/>
      <c r="U35" s="54"/>
      <c r="V35" s="54"/>
      <c r="W35" s="54"/>
      <c r="X35" s="54"/>
      <c r="Y35" s="54"/>
      <c r="Z35" s="54"/>
      <c r="AA35" s="54"/>
      <c r="AB35" s="54"/>
      <c r="AC35" s="54"/>
      <c r="AD35" s="54"/>
      <c r="AE35" s="54"/>
      <c r="AF35" s="54"/>
      <c r="AG35" s="54"/>
      <c r="AH35" s="54"/>
      <c r="AI35" s="54"/>
      <c r="AJ35" s="54"/>
      <c r="AK35" s="54"/>
      <c r="AL35" s="54"/>
      <c r="AM35" s="54"/>
      <c r="AN35" s="54"/>
      <c r="AO35" s="54"/>
      <c r="AP35" s="54"/>
      <c r="AQ35" s="54"/>
      <c r="AR35" s="115"/>
      <c r="AS35" s="115"/>
      <c r="AT35" s="54"/>
      <c r="AU35" s="54"/>
      <c r="AV35" s="54"/>
      <c r="AW35" s="115"/>
      <c r="AX35" s="115"/>
      <c r="AY35" s="54"/>
      <c r="AZ35" s="54"/>
      <c r="BA35" s="54"/>
      <c r="BB35" s="54"/>
      <c r="BC35" s="54"/>
      <c r="BD35" s="54"/>
      <c r="BE35" s="54"/>
      <c r="BF35" s="54"/>
      <c r="BG35" s="54"/>
      <c r="BH35" s="54"/>
      <c r="BI35" s="54"/>
      <c r="BJ35" s="54"/>
      <c r="BK35" s="54"/>
      <c r="BL35" s="54"/>
      <c r="BM35" s="54"/>
      <c r="BN35" s="54"/>
      <c r="BO35" s="54"/>
      <c r="BP35" s="54"/>
      <c r="BQ35" s="54"/>
      <c r="BR35" s="54"/>
      <c r="BS35" s="54"/>
      <c r="BT35" s="54"/>
      <c r="BU35" s="54"/>
      <c r="BV35" s="54"/>
      <c r="BW35" s="54"/>
      <c r="BX35" s="54"/>
    </row>
    <row r="36" spans="1:76" x14ac:dyDescent="0.3">
      <c r="A36" s="51"/>
      <c r="B36" s="23" t="s">
        <v>119</v>
      </c>
      <c r="C36" s="55">
        <v>0</v>
      </c>
      <c r="D36" s="55">
        <v>0</v>
      </c>
      <c r="E36" s="55">
        <v>0</v>
      </c>
      <c r="F36" s="54">
        <v>20789.806</v>
      </c>
      <c r="G36" s="54">
        <v>20789.806</v>
      </c>
      <c r="H36" s="54">
        <v>21202.471000000001</v>
      </c>
      <c r="I36" s="54">
        <v>21143.232</v>
      </c>
      <c r="J36" s="54">
        <v>329593.63199999998</v>
      </c>
      <c r="K36" s="54">
        <v>669596</v>
      </c>
      <c r="L36" s="54">
        <v>669596</v>
      </c>
      <c r="M36" s="54">
        <v>671204</v>
      </c>
      <c r="N36" s="54">
        <v>677259</v>
      </c>
      <c r="O36" s="54">
        <v>869422</v>
      </c>
      <c r="P36" s="54">
        <v>7032036</v>
      </c>
      <c r="Q36" s="54">
        <v>7032036</v>
      </c>
      <c r="R36" s="54">
        <v>4475551</v>
      </c>
      <c r="S36" s="54">
        <v>2879976</v>
      </c>
      <c r="T36" s="55">
        <v>2171586</v>
      </c>
      <c r="U36" s="54">
        <v>1791924</v>
      </c>
      <c r="V36" s="54">
        <v>1791924</v>
      </c>
      <c r="W36" s="54">
        <v>2224930</v>
      </c>
      <c r="X36" s="54">
        <v>1788345</v>
      </c>
      <c r="Y36" s="54">
        <v>7208183</v>
      </c>
      <c r="Z36" s="54">
        <v>10123627</v>
      </c>
      <c r="AA36" s="54">
        <v>10123627</v>
      </c>
      <c r="AB36" s="54">
        <v>10385436</v>
      </c>
      <c r="AC36" s="54">
        <v>1945128</v>
      </c>
      <c r="AD36" s="54">
        <v>627980</v>
      </c>
      <c r="AE36" s="54">
        <v>633911</v>
      </c>
      <c r="AF36" s="54">
        <v>633911</v>
      </c>
      <c r="AG36" s="54">
        <v>626969</v>
      </c>
      <c r="AH36" s="54">
        <v>1631569</v>
      </c>
      <c r="AI36" s="54">
        <v>2133055</v>
      </c>
      <c r="AJ36" s="54">
        <v>2474703</v>
      </c>
      <c r="AK36" s="54">
        <v>2474703</v>
      </c>
      <c r="AL36" s="54">
        <v>2975234</v>
      </c>
      <c r="AM36" s="54">
        <v>4997057</v>
      </c>
      <c r="AN36" s="54">
        <v>391394</v>
      </c>
      <c r="AO36" s="54">
        <v>2390561</v>
      </c>
      <c r="AP36" s="54">
        <v>2390561</v>
      </c>
      <c r="AQ36" s="54">
        <v>5399202</v>
      </c>
      <c r="AR36" s="54">
        <v>308282</v>
      </c>
      <c r="AS36" s="54">
        <v>255085</v>
      </c>
      <c r="AT36" s="54">
        <v>2064512</v>
      </c>
      <c r="AU36" s="54">
        <v>2064512</v>
      </c>
      <c r="AV36" s="54">
        <v>5567610</v>
      </c>
      <c r="AW36" s="54">
        <v>6573320</v>
      </c>
      <c r="AX36" s="54">
        <v>277616</v>
      </c>
      <c r="AY36" s="54">
        <v>2803048</v>
      </c>
      <c r="AZ36" s="54">
        <v>2803048</v>
      </c>
      <c r="BA36" s="54">
        <v>307347</v>
      </c>
      <c r="BB36" s="54">
        <v>171588</v>
      </c>
      <c r="BC36" s="54">
        <v>168950</v>
      </c>
      <c r="BD36" s="54">
        <v>4462865</v>
      </c>
      <c r="BE36" s="54">
        <v>4462865</v>
      </c>
      <c r="BF36" s="54">
        <v>4469484</v>
      </c>
      <c r="BG36" s="54">
        <v>13594280.749779999</v>
      </c>
      <c r="BH36" s="54">
        <v>17330953</v>
      </c>
      <c r="BI36" s="54">
        <v>22959941</v>
      </c>
      <c r="BJ36" s="54">
        <v>22959941</v>
      </c>
      <c r="BK36" s="54">
        <v>16711254</v>
      </c>
      <c r="BL36" s="54">
        <v>16621323</v>
      </c>
      <c r="BM36" s="54">
        <v>14664541</v>
      </c>
      <c r="BN36" s="54">
        <v>23253195</v>
      </c>
      <c r="BO36" s="54">
        <v>23253195</v>
      </c>
      <c r="BP36" s="54">
        <v>13699852</v>
      </c>
      <c r="BQ36" s="54">
        <v>13776140</v>
      </c>
      <c r="BR36" s="54">
        <v>21300596</v>
      </c>
      <c r="BS36" s="54">
        <v>27172425</v>
      </c>
      <c r="BT36" s="54">
        <v>27172425</v>
      </c>
      <c r="BU36" s="54">
        <v>27225129</v>
      </c>
      <c r="BV36" s="54">
        <v>15238640</v>
      </c>
      <c r="BW36" s="54">
        <v>15543519</v>
      </c>
      <c r="BX36" s="54">
        <v>11947917</v>
      </c>
    </row>
    <row r="37" spans="1:76" x14ac:dyDescent="0.3">
      <c r="A37" s="51"/>
      <c r="B37" s="23" t="s">
        <v>411</v>
      </c>
      <c r="C37" s="55"/>
      <c r="D37" s="54"/>
      <c r="E37" s="54"/>
      <c r="F37" s="54"/>
      <c r="G37" s="54"/>
      <c r="H37" s="54"/>
      <c r="I37" s="54"/>
      <c r="J37" s="54"/>
      <c r="K37" s="54"/>
      <c r="L37" s="54"/>
      <c r="M37" s="54"/>
      <c r="N37" s="54"/>
      <c r="O37" s="54"/>
      <c r="P37" s="55"/>
      <c r="Q37" s="55"/>
      <c r="R37" s="55"/>
      <c r="S37" s="55"/>
      <c r="T37" s="55"/>
      <c r="U37" s="55"/>
      <c r="V37" s="55"/>
      <c r="W37" s="55"/>
      <c r="X37" s="55"/>
      <c r="Y37" s="55"/>
      <c r="Z37" s="54"/>
      <c r="AA37" s="54"/>
      <c r="AB37" s="55"/>
      <c r="AC37" s="55"/>
      <c r="AD37" s="55"/>
      <c r="AE37" s="55"/>
      <c r="AF37" s="55"/>
      <c r="AG37" s="55"/>
      <c r="AH37" s="55"/>
      <c r="AI37" s="55"/>
      <c r="AJ37" s="55"/>
      <c r="AK37" s="55"/>
      <c r="AL37" s="55"/>
      <c r="AM37" s="55"/>
      <c r="AN37" s="55"/>
      <c r="AO37" s="55"/>
      <c r="AP37" s="55"/>
      <c r="AQ37" s="55"/>
      <c r="AR37" s="55"/>
      <c r="AS37" s="55"/>
      <c r="AT37" s="55"/>
      <c r="AU37" s="55"/>
      <c r="AV37" s="55"/>
      <c r="AW37" s="55"/>
      <c r="AX37" s="55"/>
      <c r="AY37" s="55"/>
      <c r="AZ37" s="55"/>
      <c r="BA37" s="55"/>
      <c r="BB37" s="55"/>
      <c r="BC37" s="55"/>
      <c r="BD37" s="55"/>
      <c r="BE37" s="55"/>
      <c r="BF37" s="55"/>
      <c r="BG37" s="54"/>
      <c r="BH37" s="54"/>
      <c r="BI37" s="55"/>
      <c r="BJ37" s="55"/>
      <c r="BK37" s="55"/>
      <c r="BL37" s="55"/>
      <c r="BM37" s="54"/>
      <c r="BN37" s="55"/>
      <c r="BO37" s="55"/>
      <c r="BP37" s="54"/>
      <c r="BQ37" s="54"/>
      <c r="BR37" s="54"/>
      <c r="BS37" s="54">
        <v>2689615</v>
      </c>
      <c r="BT37" s="55">
        <v>2689615</v>
      </c>
      <c r="BU37" s="54">
        <v>1638590</v>
      </c>
      <c r="BV37" s="54">
        <v>2642057</v>
      </c>
      <c r="BW37" s="54">
        <v>1795511</v>
      </c>
      <c r="BX37" s="54">
        <v>1691886</v>
      </c>
    </row>
    <row r="38" spans="1:76" x14ac:dyDescent="0.3">
      <c r="A38" s="51"/>
      <c r="B38" s="23" t="s">
        <v>295</v>
      </c>
      <c r="C38" s="55">
        <v>0</v>
      </c>
      <c r="D38" s="54">
        <v>1565470.4129999999</v>
      </c>
      <c r="E38" s="54">
        <v>1552470.2409999999</v>
      </c>
      <c r="F38" s="54">
        <v>170548.25200000001</v>
      </c>
      <c r="G38" s="54">
        <v>170548.25200000001</v>
      </c>
      <c r="H38" s="54">
        <v>184172.78200000001</v>
      </c>
      <c r="I38" s="54">
        <v>75366.667000000001</v>
      </c>
      <c r="J38" s="54">
        <v>477080.027</v>
      </c>
      <c r="K38" s="54">
        <v>468124</v>
      </c>
      <c r="L38" s="54">
        <v>468124</v>
      </c>
      <c r="M38" s="54">
        <v>18848124</v>
      </c>
      <c r="N38" s="54">
        <v>10742350</v>
      </c>
      <c r="O38" s="54">
        <v>2645522</v>
      </c>
      <c r="P38" s="55">
        <v>0</v>
      </c>
      <c r="Q38" s="55">
        <v>6950133</v>
      </c>
      <c r="R38" s="55">
        <v>0</v>
      </c>
      <c r="S38" s="55">
        <v>0</v>
      </c>
      <c r="T38" s="55">
        <v>0</v>
      </c>
      <c r="U38" s="55">
        <v>555322</v>
      </c>
      <c r="V38" s="55">
        <v>555322</v>
      </c>
      <c r="W38" s="55">
        <v>0</v>
      </c>
      <c r="X38" s="55">
        <v>0</v>
      </c>
      <c r="Y38" s="55">
        <v>0</v>
      </c>
      <c r="Z38" s="54">
        <v>846087</v>
      </c>
      <c r="AA38" s="54">
        <v>1373899</v>
      </c>
      <c r="AB38" s="55">
        <v>0</v>
      </c>
      <c r="AC38" s="55">
        <v>2297375</v>
      </c>
      <c r="AD38" s="55">
        <v>2297375</v>
      </c>
      <c r="AE38" s="55">
        <v>1947373</v>
      </c>
      <c r="AF38" s="55">
        <v>1947373</v>
      </c>
      <c r="AG38" s="55">
        <v>2739761</v>
      </c>
      <c r="AH38" s="55">
        <v>4051222</v>
      </c>
      <c r="AI38" s="55">
        <v>3951222</v>
      </c>
      <c r="AJ38" s="55">
        <v>1834223</v>
      </c>
      <c r="AK38" s="55">
        <v>1834223</v>
      </c>
      <c r="AL38" s="55">
        <v>621050</v>
      </c>
      <c r="AM38" s="55">
        <v>858826</v>
      </c>
      <c r="AN38" s="55">
        <v>504156</v>
      </c>
      <c r="AO38" s="55">
        <v>435236</v>
      </c>
      <c r="AP38" s="55">
        <v>435236</v>
      </c>
      <c r="AQ38" s="55">
        <v>1326236</v>
      </c>
      <c r="AR38" s="55">
        <v>926236</v>
      </c>
      <c r="AS38" s="55">
        <v>926236</v>
      </c>
      <c r="AT38" s="55">
        <v>926236</v>
      </c>
      <c r="AU38" s="55">
        <v>926235</v>
      </c>
      <c r="AV38" s="55">
        <v>926236</v>
      </c>
      <c r="AW38" s="55">
        <v>926236</v>
      </c>
      <c r="AX38" s="55">
        <v>550236</v>
      </c>
      <c r="AY38" s="55">
        <v>669636</v>
      </c>
      <c r="AZ38" s="55">
        <v>669636</v>
      </c>
      <c r="BA38" s="55">
        <v>669636</v>
      </c>
      <c r="BB38" s="55">
        <v>669636</v>
      </c>
      <c r="BC38" s="55">
        <v>669636</v>
      </c>
      <c r="BD38" s="55">
        <v>624051</v>
      </c>
      <c r="BE38" s="55">
        <v>624051</v>
      </c>
      <c r="BF38" s="55">
        <v>624051</v>
      </c>
      <c r="BG38" s="54">
        <v>624051</v>
      </c>
      <c r="BH38" s="54">
        <v>784051</v>
      </c>
      <c r="BI38" s="55">
        <v>676418</v>
      </c>
      <c r="BJ38" s="55">
        <v>676418</v>
      </c>
      <c r="BK38" s="55">
        <v>676418</v>
      </c>
      <c r="BL38" s="55">
        <v>676418</v>
      </c>
      <c r="BM38" s="54">
        <v>676418</v>
      </c>
      <c r="BN38" s="55">
        <v>676418</v>
      </c>
      <c r="BO38" s="55">
        <v>676418</v>
      </c>
      <c r="BP38" s="54">
        <v>676418</v>
      </c>
      <c r="BQ38" s="54">
        <v>516418</v>
      </c>
      <c r="BR38" s="54">
        <v>516418</v>
      </c>
      <c r="BS38" s="54">
        <v>516418</v>
      </c>
      <c r="BT38" s="55">
        <v>516418</v>
      </c>
      <c r="BU38" s="54">
        <v>516418</v>
      </c>
      <c r="BV38" s="54">
        <v>516418</v>
      </c>
      <c r="BW38" s="54">
        <v>516418</v>
      </c>
      <c r="BX38" s="54">
        <v>516418</v>
      </c>
    </row>
    <row r="39" spans="1:76" x14ac:dyDescent="0.3">
      <c r="A39" s="51"/>
      <c r="B39" s="23" t="s">
        <v>144</v>
      </c>
      <c r="C39" s="55">
        <v>0</v>
      </c>
      <c r="D39" s="54">
        <v>51945.048000000003</v>
      </c>
      <c r="E39" s="54">
        <v>48785.544999999998</v>
      </c>
      <c r="F39" s="54">
        <v>54334.082000000002</v>
      </c>
      <c r="G39" s="54">
        <v>42002.248</v>
      </c>
      <c r="H39" s="54">
        <v>47789.419000000002</v>
      </c>
      <c r="I39" s="54">
        <v>73639.777000000002</v>
      </c>
      <c r="J39" s="54">
        <v>122377.288</v>
      </c>
      <c r="K39" s="54">
        <v>70855</v>
      </c>
      <c r="L39" s="54">
        <v>70855</v>
      </c>
      <c r="M39" s="54">
        <v>91862</v>
      </c>
      <c r="N39" s="54">
        <v>134199</v>
      </c>
      <c r="O39" s="54">
        <v>223683</v>
      </c>
      <c r="P39" s="54">
        <v>8187481</v>
      </c>
      <c r="Q39" s="54">
        <v>1237348</v>
      </c>
      <c r="R39" s="54">
        <v>2354809</v>
      </c>
      <c r="S39" s="54">
        <v>2914354</v>
      </c>
      <c r="T39" s="55">
        <v>3411122</v>
      </c>
      <c r="U39" s="54">
        <f>1372701</f>
        <v>1372701</v>
      </c>
      <c r="V39" s="54">
        <v>1372701</v>
      </c>
      <c r="W39" s="54">
        <v>2939080</v>
      </c>
      <c r="X39" s="55">
        <v>2981508</v>
      </c>
      <c r="Y39" s="55">
        <v>2203987</v>
      </c>
      <c r="Z39" s="54">
        <v>1067072</v>
      </c>
      <c r="AA39" s="54">
        <v>1067072</v>
      </c>
      <c r="AB39" s="54">
        <v>2495405</v>
      </c>
      <c r="AC39" s="54">
        <f>606270+1139998+125344</f>
        <v>1871612</v>
      </c>
      <c r="AD39" s="54">
        <v>1060431</v>
      </c>
      <c r="AE39" s="54">
        <v>1285024</v>
      </c>
      <c r="AF39" s="54">
        <v>1285024</v>
      </c>
      <c r="AG39" s="54">
        <v>932588</v>
      </c>
      <c r="AH39" s="54">
        <f>862476+283740+114080</f>
        <v>1260296</v>
      </c>
      <c r="AI39" s="54">
        <v>936347</v>
      </c>
      <c r="AJ39" s="54">
        <v>1878598</v>
      </c>
      <c r="AK39" s="54">
        <v>1878598</v>
      </c>
      <c r="AL39" s="54">
        <v>1694804</v>
      </c>
      <c r="AM39" s="54">
        <v>1965570</v>
      </c>
      <c r="AN39" s="54">
        <v>2070923</v>
      </c>
      <c r="AO39" s="54">
        <v>2348590</v>
      </c>
      <c r="AP39" s="54">
        <v>2348590</v>
      </c>
      <c r="AQ39" s="54">
        <v>2324325</v>
      </c>
      <c r="AR39" s="54">
        <v>2263973</v>
      </c>
      <c r="AS39" s="54">
        <v>3300534</v>
      </c>
      <c r="AT39" s="54">
        <v>3968486</v>
      </c>
      <c r="AU39" s="54">
        <v>3821965</v>
      </c>
      <c r="AV39" s="54">
        <v>3678775</v>
      </c>
      <c r="AW39" s="54">
        <v>4523920</v>
      </c>
      <c r="AX39" s="54">
        <v>4773435</v>
      </c>
      <c r="AY39" s="54">
        <v>4316335</v>
      </c>
      <c r="AZ39" s="54">
        <v>4316335</v>
      </c>
      <c r="BA39" s="54">
        <v>4687731</v>
      </c>
      <c r="BB39" s="54">
        <v>5048406</v>
      </c>
      <c r="BC39" s="54">
        <v>4650614</v>
      </c>
      <c r="BD39" s="54">
        <v>5268080</v>
      </c>
      <c r="BE39" s="54">
        <v>4818582</v>
      </c>
      <c r="BF39" s="54">
        <v>4748741</v>
      </c>
      <c r="BG39" s="54">
        <v>5754511</v>
      </c>
      <c r="BH39" s="54">
        <v>5168097</v>
      </c>
      <c r="BI39" s="54">
        <v>6573655</v>
      </c>
      <c r="BJ39" s="54">
        <v>6573655</v>
      </c>
      <c r="BK39" s="54">
        <v>6293170</v>
      </c>
      <c r="BL39" s="54">
        <v>7096988</v>
      </c>
      <c r="BM39" s="55">
        <v>6845841</v>
      </c>
      <c r="BN39" s="54">
        <v>6621167</v>
      </c>
      <c r="BO39" s="54">
        <v>6621167</v>
      </c>
      <c r="BP39" s="55">
        <v>6599594</v>
      </c>
      <c r="BQ39" s="55">
        <v>7298904</v>
      </c>
      <c r="BR39" s="55">
        <v>5828233</v>
      </c>
      <c r="BS39" s="54">
        <v>4246343</v>
      </c>
      <c r="BT39" s="55">
        <v>4246344</v>
      </c>
      <c r="BU39" s="55">
        <v>4165872</v>
      </c>
      <c r="BV39" s="55">
        <v>3903836</v>
      </c>
      <c r="BW39" s="55">
        <v>3964952</v>
      </c>
      <c r="BX39" s="54">
        <v>4076567</v>
      </c>
    </row>
    <row r="40" spans="1:76" x14ac:dyDescent="0.3">
      <c r="A40" s="51"/>
      <c r="B40" s="23" t="s">
        <v>412</v>
      </c>
      <c r="C40" s="55"/>
      <c r="D40" s="54"/>
      <c r="E40" s="54"/>
      <c r="F40" s="54"/>
      <c r="G40" s="54"/>
      <c r="H40" s="54"/>
      <c r="I40" s="54"/>
      <c r="J40" s="54"/>
      <c r="K40" s="54"/>
      <c r="L40" s="54"/>
      <c r="M40" s="54"/>
      <c r="N40" s="54"/>
      <c r="O40" s="54"/>
      <c r="P40" s="55"/>
      <c r="Q40" s="55"/>
      <c r="R40" s="55"/>
      <c r="S40" s="55"/>
      <c r="T40" s="55"/>
      <c r="U40" s="55"/>
      <c r="V40" s="55"/>
      <c r="W40" s="55"/>
      <c r="X40" s="55"/>
      <c r="Y40" s="55"/>
      <c r="Z40" s="54"/>
      <c r="AA40" s="54"/>
      <c r="AB40" s="55"/>
      <c r="AC40" s="55"/>
      <c r="AD40" s="55"/>
      <c r="AE40" s="55"/>
      <c r="AF40" s="55"/>
      <c r="AG40" s="55"/>
      <c r="AH40" s="55"/>
      <c r="AI40" s="55"/>
      <c r="AJ40" s="55"/>
      <c r="AK40" s="55"/>
      <c r="AL40" s="55"/>
      <c r="AM40" s="55"/>
      <c r="AN40" s="55"/>
      <c r="AO40" s="55"/>
      <c r="AP40" s="55"/>
      <c r="AQ40" s="55"/>
      <c r="AR40" s="55"/>
      <c r="AS40" s="55"/>
      <c r="AT40" s="55"/>
      <c r="AU40" s="55"/>
      <c r="AV40" s="55"/>
      <c r="AW40" s="55"/>
      <c r="AX40" s="55"/>
      <c r="AY40" s="55"/>
      <c r="AZ40" s="55"/>
      <c r="BA40" s="55"/>
      <c r="BB40" s="55"/>
      <c r="BC40" s="55"/>
      <c r="BD40" s="55"/>
      <c r="BE40" s="55"/>
      <c r="BF40" s="55"/>
      <c r="BG40" s="54"/>
      <c r="BH40" s="54"/>
      <c r="BI40" s="55"/>
      <c r="BJ40" s="55"/>
      <c r="BK40" s="55"/>
      <c r="BL40" s="55"/>
      <c r="BM40" s="54"/>
      <c r="BN40" s="55"/>
      <c r="BO40" s="55"/>
      <c r="BP40" s="54"/>
      <c r="BQ40" s="54"/>
      <c r="BR40" s="54"/>
      <c r="BS40" s="54">
        <v>5579872</v>
      </c>
      <c r="BT40" s="54">
        <v>5579872</v>
      </c>
      <c r="BU40" s="54">
        <v>3078850</v>
      </c>
      <c r="BV40" s="54">
        <v>3078850</v>
      </c>
      <c r="BW40" s="54">
        <v>579872</v>
      </c>
      <c r="BX40" s="54">
        <v>693569</v>
      </c>
    </row>
    <row r="41" spans="1:76" x14ac:dyDescent="0.3">
      <c r="A41" s="51"/>
      <c r="B41" s="23" t="s">
        <v>314</v>
      </c>
      <c r="C41" s="55"/>
      <c r="D41" s="54"/>
      <c r="E41" s="54"/>
      <c r="F41" s="54"/>
      <c r="G41" s="54"/>
      <c r="H41" s="54"/>
      <c r="I41" s="54"/>
      <c r="J41" s="54"/>
      <c r="K41" s="54"/>
      <c r="L41" s="54"/>
      <c r="M41" s="54"/>
      <c r="N41" s="54"/>
      <c r="O41" s="54"/>
      <c r="P41" s="54"/>
      <c r="Q41" s="54"/>
      <c r="R41" s="54"/>
      <c r="S41" s="54"/>
      <c r="T41" s="55"/>
      <c r="U41" s="54"/>
      <c r="V41" s="54"/>
      <c r="W41" s="54"/>
      <c r="X41" s="55"/>
      <c r="Y41" s="55"/>
      <c r="Z41" s="54"/>
      <c r="AA41" s="54"/>
      <c r="AB41" s="54"/>
      <c r="AC41" s="54"/>
      <c r="AD41" s="54"/>
      <c r="AE41" s="54"/>
      <c r="AF41" s="54"/>
      <c r="AG41" s="54"/>
      <c r="AH41" s="54"/>
      <c r="AI41" s="54"/>
      <c r="AJ41" s="54"/>
      <c r="AK41" s="54"/>
      <c r="AL41" s="54"/>
      <c r="AM41" s="54"/>
      <c r="AN41" s="54"/>
      <c r="AO41" s="54"/>
      <c r="AP41" s="54"/>
      <c r="AQ41" s="54"/>
      <c r="AR41" s="54"/>
      <c r="AS41" s="54"/>
      <c r="AT41" s="54"/>
      <c r="AU41" s="54">
        <v>144940</v>
      </c>
      <c r="AV41" s="54"/>
      <c r="AW41" s="54"/>
      <c r="AX41" s="54"/>
      <c r="AY41" s="54"/>
      <c r="AZ41" s="54">
        <v>169071</v>
      </c>
      <c r="BA41" s="54"/>
      <c r="BB41" s="54"/>
      <c r="BC41" s="54"/>
      <c r="BD41" s="54">
        <v>250055</v>
      </c>
      <c r="BE41" s="54">
        <v>250055</v>
      </c>
      <c r="BF41" s="54">
        <v>250055</v>
      </c>
      <c r="BG41" s="54">
        <v>250055</v>
      </c>
      <c r="BH41" s="54">
        <v>250055</v>
      </c>
      <c r="BI41" s="54">
        <v>135940</v>
      </c>
      <c r="BJ41" s="54">
        <v>135940</v>
      </c>
      <c r="BK41" s="54">
        <v>133870</v>
      </c>
      <c r="BL41" s="54">
        <v>132237</v>
      </c>
      <c r="BM41" s="54">
        <v>133275</v>
      </c>
      <c r="BN41" s="54">
        <v>151430</v>
      </c>
      <c r="BO41" s="54">
        <v>151430</v>
      </c>
      <c r="BP41" s="54">
        <v>151127</v>
      </c>
      <c r="BQ41" s="54">
        <v>153228</v>
      </c>
      <c r="BR41" s="54">
        <v>155176</v>
      </c>
      <c r="BS41" s="54">
        <v>197198</v>
      </c>
      <c r="BT41" s="54">
        <v>197198</v>
      </c>
      <c r="BU41" s="54">
        <v>197295</v>
      </c>
      <c r="BV41" s="54">
        <v>194539</v>
      </c>
      <c r="BW41" s="54">
        <v>193551</v>
      </c>
      <c r="BX41" s="54">
        <v>269903</v>
      </c>
    </row>
    <row r="42" spans="1:76" x14ac:dyDescent="0.3">
      <c r="A42" s="51"/>
      <c r="B42" s="23" t="s">
        <v>120</v>
      </c>
      <c r="C42" s="55">
        <v>0</v>
      </c>
      <c r="D42" s="55">
        <v>0</v>
      </c>
      <c r="E42" s="55">
        <v>0</v>
      </c>
      <c r="F42" s="55">
        <v>0</v>
      </c>
      <c r="G42" s="55">
        <v>0</v>
      </c>
      <c r="H42" s="55">
        <v>0</v>
      </c>
      <c r="I42" s="55">
        <v>0</v>
      </c>
      <c r="J42" s="55">
        <v>0</v>
      </c>
      <c r="K42" s="55">
        <v>22981</v>
      </c>
      <c r="L42" s="55">
        <v>22981</v>
      </c>
      <c r="M42" s="54">
        <v>22981</v>
      </c>
      <c r="N42" s="54">
        <v>22981</v>
      </c>
      <c r="O42" s="54">
        <v>22981</v>
      </c>
      <c r="P42" s="55">
        <v>72085</v>
      </c>
      <c r="Q42" s="55">
        <v>72085</v>
      </c>
      <c r="R42" s="54">
        <v>47574</v>
      </c>
      <c r="S42" s="54">
        <v>31176</v>
      </c>
      <c r="T42" s="55">
        <v>37487</v>
      </c>
      <c r="U42" s="55">
        <v>57023</v>
      </c>
      <c r="V42" s="55">
        <v>57023</v>
      </c>
      <c r="W42" s="54">
        <v>68694</v>
      </c>
      <c r="X42" s="54">
        <v>76778</v>
      </c>
      <c r="Y42" s="54">
        <v>84754</v>
      </c>
      <c r="Z42" s="55">
        <v>100010</v>
      </c>
      <c r="AA42" s="55">
        <v>100010</v>
      </c>
      <c r="AB42" s="54">
        <v>101634</v>
      </c>
      <c r="AC42" s="54">
        <v>122144</v>
      </c>
      <c r="AD42" s="54">
        <v>150531</v>
      </c>
      <c r="AE42" s="55">
        <v>165362</v>
      </c>
      <c r="AF42" s="55">
        <v>165362</v>
      </c>
      <c r="AG42" s="54">
        <v>153508</v>
      </c>
      <c r="AH42" s="54">
        <v>159889</v>
      </c>
      <c r="AI42" s="54">
        <v>171866</v>
      </c>
      <c r="AJ42" s="55">
        <v>204883</v>
      </c>
      <c r="AK42" s="55">
        <v>204883</v>
      </c>
      <c r="AL42" s="54">
        <v>208464</v>
      </c>
      <c r="AM42" s="54">
        <v>238745</v>
      </c>
      <c r="AN42" s="54">
        <v>239058</v>
      </c>
      <c r="AO42" s="55">
        <v>332147</v>
      </c>
      <c r="AP42" s="55">
        <v>332147</v>
      </c>
      <c r="AQ42" s="54">
        <v>351643</v>
      </c>
      <c r="AR42" s="54">
        <v>373761</v>
      </c>
      <c r="AS42" s="54">
        <v>328951</v>
      </c>
      <c r="AT42" s="55">
        <v>387735</v>
      </c>
      <c r="AU42" s="55">
        <v>387735</v>
      </c>
      <c r="AV42" s="54">
        <v>519364</v>
      </c>
      <c r="AW42" s="54">
        <v>255516</v>
      </c>
      <c r="AX42" s="54">
        <v>271497</v>
      </c>
      <c r="AY42" s="55">
        <v>336255</v>
      </c>
      <c r="AZ42" s="55">
        <v>336255</v>
      </c>
      <c r="BA42" s="54">
        <v>375092</v>
      </c>
      <c r="BB42" s="54">
        <v>346427</v>
      </c>
      <c r="BC42" s="54">
        <v>347857</v>
      </c>
      <c r="BD42" s="54">
        <v>357298</v>
      </c>
      <c r="BE42" s="54">
        <v>357298</v>
      </c>
      <c r="BF42" s="54">
        <v>403117</v>
      </c>
      <c r="BG42" s="54">
        <v>349390</v>
      </c>
      <c r="BH42" s="54">
        <v>324171</v>
      </c>
      <c r="BI42" s="54">
        <v>317493</v>
      </c>
      <c r="BJ42" s="54">
        <v>317493</v>
      </c>
      <c r="BK42" s="54">
        <v>343685</v>
      </c>
      <c r="BL42" s="54">
        <v>312087</v>
      </c>
      <c r="BM42" s="54">
        <v>319592</v>
      </c>
      <c r="BN42" s="54">
        <v>353649</v>
      </c>
      <c r="BO42" s="54">
        <v>353649</v>
      </c>
      <c r="BP42" s="54">
        <v>356482</v>
      </c>
      <c r="BQ42" s="54">
        <v>315897</v>
      </c>
      <c r="BR42" s="54">
        <v>310621</v>
      </c>
      <c r="BS42" s="54">
        <v>414708</v>
      </c>
      <c r="BT42" s="54">
        <v>414708</v>
      </c>
      <c r="BU42" s="54">
        <v>342102</v>
      </c>
      <c r="BV42" s="54">
        <v>322643</v>
      </c>
      <c r="BW42" s="54">
        <v>322074</v>
      </c>
      <c r="BX42" s="54">
        <v>366284</v>
      </c>
    </row>
    <row r="43" spans="1:76" x14ac:dyDescent="0.3">
      <c r="A43" s="51"/>
      <c r="B43" s="23" t="s">
        <v>306</v>
      </c>
      <c r="C43" s="55"/>
      <c r="D43" s="55"/>
      <c r="E43" s="55"/>
      <c r="F43" s="55"/>
      <c r="G43" s="55"/>
      <c r="H43" s="55"/>
      <c r="I43" s="55"/>
      <c r="J43" s="55"/>
      <c r="K43" s="55"/>
      <c r="L43" s="55"/>
      <c r="M43" s="54"/>
      <c r="N43" s="54"/>
      <c r="O43" s="54"/>
      <c r="P43" s="55"/>
      <c r="Q43" s="55"/>
      <c r="R43" s="54"/>
      <c r="S43" s="54"/>
      <c r="T43" s="55"/>
      <c r="U43" s="55"/>
      <c r="V43" s="55"/>
      <c r="W43" s="54"/>
      <c r="X43" s="54"/>
      <c r="Y43" s="54"/>
      <c r="Z43" s="55"/>
      <c r="AA43" s="55"/>
      <c r="AB43" s="54"/>
      <c r="AC43" s="54"/>
      <c r="AD43" s="54"/>
      <c r="AE43" s="55"/>
      <c r="AF43" s="55"/>
      <c r="AG43" s="54"/>
      <c r="AH43" s="54"/>
      <c r="AI43" s="54"/>
      <c r="AJ43" s="55"/>
      <c r="AK43" s="55"/>
      <c r="AL43" s="54"/>
      <c r="AM43" s="54"/>
      <c r="AN43" s="54"/>
      <c r="AO43" s="55"/>
      <c r="AP43" s="55">
        <v>135834</v>
      </c>
      <c r="AQ43" s="54"/>
      <c r="AR43" s="54"/>
      <c r="AS43" s="54"/>
      <c r="AT43" s="55"/>
      <c r="AU43" s="55">
        <v>102793</v>
      </c>
      <c r="AV43" s="54"/>
      <c r="AW43" s="54"/>
      <c r="AX43" s="54"/>
      <c r="AY43" s="55"/>
      <c r="AZ43" s="55">
        <v>92970</v>
      </c>
      <c r="BA43" s="54"/>
      <c r="BB43" s="54">
        <v>92970</v>
      </c>
      <c r="BC43" s="54">
        <v>63354</v>
      </c>
      <c r="BD43" s="54">
        <v>95560</v>
      </c>
      <c r="BE43" s="54">
        <v>95560</v>
      </c>
      <c r="BF43" s="54">
        <v>118874</v>
      </c>
      <c r="BG43" s="54">
        <v>99607</v>
      </c>
      <c r="BH43" s="54">
        <v>118384</v>
      </c>
      <c r="BI43" s="54">
        <v>48600</v>
      </c>
      <c r="BJ43" s="54">
        <v>48600</v>
      </c>
      <c r="BK43" s="54">
        <v>82261</v>
      </c>
      <c r="BL43" s="54">
        <v>151489</v>
      </c>
      <c r="BM43" s="54">
        <v>154223</v>
      </c>
      <c r="BN43" s="54">
        <v>149280</v>
      </c>
      <c r="BO43" s="54">
        <v>149280</v>
      </c>
      <c r="BP43" s="54">
        <v>140590</v>
      </c>
      <c r="BQ43" s="54">
        <v>140528</v>
      </c>
      <c r="BR43" s="54">
        <v>133390</v>
      </c>
      <c r="BS43" s="54">
        <v>123625</v>
      </c>
      <c r="BT43" s="54">
        <v>123625</v>
      </c>
      <c r="BU43" s="54">
        <v>106238</v>
      </c>
      <c r="BV43" s="54">
        <v>105332</v>
      </c>
      <c r="BW43" s="54">
        <v>103007</v>
      </c>
      <c r="BX43" s="54">
        <v>107212</v>
      </c>
    </row>
    <row r="44" spans="1:76" x14ac:dyDescent="0.3">
      <c r="B44" s="23" t="s">
        <v>121</v>
      </c>
      <c r="C44" s="55">
        <v>0</v>
      </c>
      <c r="D44" s="55">
        <v>0</v>
      </c>
      <c r="E44" s="55">
        <v>0</v>
      </c>
      <c r="F44" s="55">
        <v>0</v>
      </c>
      <c r="G44" s="55">
        <v>12331.834000000001</v>
      </c>
      <c r="H44" s="55">
        <v>0</v>
      </c>
      <c r="I44" s="55">
        <v>0</v>
      </c>
      <c r="J44" s="55">
        <v>0</v>
      </c>
      <c r="K44" s="55">
        <v>49918</v>
      </c>
      <c r="L44" s="55">
        <v>49918</v>
      </c>
      <c r="M44" s="54">
        <v>56862</v>
      </c>
      <c r="N44" s="54">
        <v>107371</v>
      </c>
      <c r="O44" s="54">
        <v>16299</v>
      </c>
      <c r="P44" s="55">
        <v>60767</v>
      </c>
      <c r="Q44" s="55">
        <v>60767</v>
      </c>
      <c r="R44" s="54">
        <v>98676</v>
      </c>
      <c r="S44" s="54">
        <v>471746</v>
      </c>
      <c r="T44" s="55">
        <v>174872</v>
      </c>
      <c r="U44" s="55">
        <v>0</v>
      </c>
      <c r="V44" s="55">
        <v>0</v>
      </c>
      <c r="W44" s="54">
        <v>92220</v>
      </c>
      <c r="X44" s="54">
        <v>98472</v>
      </c>
      <c r="Y44" s="54">
        <v>99097</v>
      </c>
      <c r="Z44" s="55">
        <v>104488</v>
      </c>
      <c r="AA44" s="55">
        <v>104488</v>
      </c>
      <c r="AB44" s="54">
        <v>126922</v>
      </c>
      <c r="AC44" s="54">
        <v>154199</v>
      </c>
      <c r="AD44" s="54">
        <v>142786</v>
      </c>
      <c r="AE44" s="55">
        <v>93266</v>
      </c>
      <c r="AF44" s="55">
        <v>93266</v>
      </c>
      <c r="AG44" s="54">
        <v>226201</v>
      </c>
      <c r="AH44" s="54">
        <v>122287</v>
      </c>
      <c r="AI44" s="54">
        <v>204143</v>
      </c>
      <c r="AJ44" s="55">
        <v>210101</v>
      </c>
      <c r="AK44" s="55">
        <v>210101</v>
      </c>
      <c r="AL44" s="54">
        <v>246151</v>
      </c>
      <c r="AM44" s="54">
        <v>239377</v>
      </c>
      <c r="AN44" s="54">
        <v>227227</v>
      </c>
      <c r="AO44" s="55">
        <v>205174</v>
      </c>
      <c r="AP44" s="55">
        <v>205174</v>
      </c>
      <c r="AQ44" s="54">
        <v>230210</v>
      </c>
      <c r="AR44" s="54">
        <v>303360</v>
      </c>
      <c r="AS44" s="54">
        <v>132576</v>
      </c>
      <c r="AT44" s="55">
        <v>250568</v>
      </c>
      <c r="AU44" s="55">
        <v>250568</v>
      </c>
      <c r="AV44" s="54">
        <v>275962</v>
      </c>
      <c r="AW44" s="54">
        <v>310811</v>
      </c>
      <c r="AX44" s="54">
        <v>354445</v>
      </c>
      <c r="AY44" s="55">
        <v>274712</v>
      </c>
      <c r="AZ44" s="55">
        <v>274712</v>
      </c>
      <c r="BA44" s="54">
        <v>232473</v>
      </c>
      <c r="BB44" s="54">
        <v>295349</v>
      </c>
      <c r="BC44" s="54">
        <v>375233</v>
      </c>
      <c r="BD44" s="54">
        <v>147094</v>
      </c>
      <c r="BE44" s="54">
        <v>147094</v>
      </c>
      <c r="BF44" s="54">
        <v>145407</v>
      </c>
      <c r="BG44" s="54">
        <v>316888</v>
      </c>
      <c r="BH44" s="54">
        <v>283896</v>
      </c>
      <c r="BI44" s="54">
        <v>439799</v>
      </c>
      <c r="BJ44" s="54">
        <v>439799</v>
      </c>
      <c r="BK44" s="54">
        <v>698812</v>
      </c>
      <c r="BL44" s="54">
        <v>557265</v>
      </c>
      <c r="BM44" s="54">
        <v>424495</v>
      </c>
      <c r="BN44" s="54">
        <v>635780</v>
      </c>
      <c r="BO44" s="54">
        <v>635780</v>
      </c>
      <c r="BP44" s="54">
        <v>849448</v>
      </c>
      <c r="BQ44" s="54">
        <v>848300</v>
      </c>
      <c r="BR44" s="54">
        <v>1096986</v>
      </c>
      <c r="BS44" s="54">
        <v>292021</v>
      </c>
      <c r="BT44" s="54">
        <v>292021</v>
      </c>
      <c r="BU44" s="54">
        <v>366453</v>
      </c>
      <c r="BV44" s="54">
        <v>395232</v>
      </c>
      <c r="BW44" s="54">
        <v>594925</v>
      </c>
      <c r="BX44" s="54">
        <v>311085</v>
      </c>
    </row>
    <row r="45" spans="1:76" x14ac:dyDescent="0.3">
      <c r="B45" s="23" t="s">
        <v>116</v>
      </c>
      <c r="C45" s="55"/>
      <c r="D45" s="55"/>
      <c r="E45" s="55"/>
      <c r="F45" s="55"/>
      <c r="G45" s="55"/>
      <c r="H45" s="55"/>
      <c r="I45" s="55"/>
      <c r="J45" s="55"/>
      <c r="K45" s="55"/>
      <c r="L45" s="55"/>
      <c r="M45" s="54"/>
      <c r="N45" s="54"/>
      <c r="O45" s="54"/>
      <c r="P45" s="55"/>
      <c r="Q45" s="55"/>
      <c r="R45" s="54"/>
      <c r="S45" s="54"/>
      <c r="T45" s="55"/>
      <c r="U45" s="55"/>
      <c r="V45" s="55"/>
      <c r="W45" s="54"/>
      <c r="X45" s="54"/>
      <c r="Y45" s="54"/>
      <c r="Z45" s="55"/>
      <c r="AA45" s="55"/>
      <c r="AB45" s="54"/>
      <c r="AC45" s="54"/>
      <c r="AD45" s="54"/>
      <c r="AE45" s="55"/>
      <c r="AF45" s="55"/>
      <c r="AG45" s="54"/>
      <c r="AH45" s="54"/>
      <c r="AI45" s="54"/>
      <c r="AJ45" s="55"/>
      <c r="AK45" s="55"/>
      <c r="AL45" s="54"/>
      <c r="AM45" s="54"/>
      <c r="AN45" s="54"/>
      <c r="AO45" s="55"/>
      <c r="AP45" s="55"/>
      <c r="AQ45" s="54"/>
      <c r="AR45" s="54"/>
      <c r="AS45" s="54"/>
      <c r="AT45" s="55"/>
      <c r="AU45" s="55"/>
      <c r="AV45" s="54"/>
      <c r="AW45" s="54"/>
      <c r="AX45" s="54"/>
      <c r="AY45" s="55"/>
      <c r="AZ45" s="55"/>
      <c r="BA45" s="54"/>
      <c r="BB45" s="54"/>
      <c r="BC45" s="54"/>
      <c r="BD45" s="54"/>
      <c r="BE45" s="54"/>
      <c r="BF45" s="54"/>
      <c r="BG45" s="54"/>
      <c r="BH45" s="54"/>
      <c r="BI45" s="54"/>
      <c r="BJ45" s="54"/>
      <c r="BK45" s="54"/>
      <c r="BL45" s="54"/>
      <c r="BM45" s="54"/>
      <c r="BN45" s="54"/>
      <c r="BO45" s="54"/>
      <c r="BP45" s="54"/>
      <c r="BQ45" s="54"/>
      <c r="BR45" s="54"/>
      <c r="BS45" s="54"/>
      <c r="BU45" s="54">
        <v>883723</v>
      </c>
      <c r="BV45" s="54">
        <v>1647896</v>
      </c>
      <c r="BW45" s="54">
        <v>1978680</v>
      </c>
      <c r="BX45" s="54">
        <v>2063241</v>
      </c>
    </row>
    <row r="46" spans="1:76" s="51" customFormat="1" x14ac:dyDescent="0.3">
      <c r="A46" s="23"/>
      <c r="B46" s="51" t="s">
        <v>428</v>
      </c>
      <c r="C46" s="56">
        <f t="shared" ref="C46:AM46" si="19">SUM(C36:C44)</f>
        <v>0</v>
      </c>
      <c r="D46" s="56">
        <f t="shared" si="19"/>
        <v>1617415.4609999999</v>
      </c>
      <c r="E46" s="56">
        <f t="shared" si="19"/>
        <v>1601255.7859999998</v>
      </c>
      <c r="F46" s="56">
        <f t="shared" si="19"/>
        <v>245672.14</v>
      </c>
      <c r="G46" s="56">
        <f t="shared" si="19"/>
        <v>245672.14</v>
      </c>
      <c r="H46" s="56">
        <f t="shared" si="19"/>
        <v>253164.67199999999</v>
      </c>
      <c r="I46" s="56">
        <f t="shared" si="19"/>
        <v>170149.67600000001</v>
      </c>
      <c r="J46" s="56">
        <f t="shared" si="19"/>
        <v>929050.94699999993</v>
      </c>
      <c r="K46" s="56">
        <f t="shared" si="19"/>
        <v>1281474</v>
      </c>
      <c r="L46" s="56">
        <f t="shared" si="19"/>
        <v>1281474</v>
      </c>
      <c r="M46" s="56">
        <f t="shared" si="19"/>
        <v>19691033</v>
      </c>
      <c r="N46" s="56">
        <f t="shared" si="19"/>
        <v>11684160</v>
      </c>
      <c r="O46" s="56">
        <f t="shared" si="19"/>
        <v>3777907</v>
      </c>
      <c r="P46" s="56">
        <f t="shared" si="19"/>
        <v>15352369</v>
      </c>
      <c r="Q46" s="56">
        <f t="shared" si="19"/>
        <v>15352369</v>
      </c>
      <c r="R46" s="56">
        <f t="shared" si="19"/>
        <v>6976610</v>
      </c>
      <c r="S46" s="56">
        <f t="shared" si="19"/>
        <v>6297252</v>
      </c>
      <c r="T46" s="56">
        <f t="shared" si="19"/>
        <v>5795067</v>
      </c>
      <c r="U46" s="56">
        <f t="shared" si="19"/>
        <v>3776970</v>
      </c>
      <c r="V46" s="56">
        <f t="shared" si="19"/>
        <v>3776970</v>
      </c>
      <c r="W46" s="56">
        <f t="shared" si="19"/>
        <v>5324924</v>
      </c>
      <c r="X46" s="56">
        <f t="shared" si="19"/>
        <v>4945103</v>
      </c>
      <c r="Y46" s="56">
        <f t="shared" si="19"/>
        <v>9596021</v>
      </c>
      <c r="Z46" s="56">
        <f t="shared" si="19"/>
        <v>12241284</v>
      </c>
      <c r="AA46" s="56">
        <f t="shared" si="19"/>
        <v>12769096</v>
      </c>
      <c r="AB46" s="56">
        <f t="shared" si="19"/>
        <v>13109397</v>
      </c>
      <c r="AC46" s="56">
        <f t="shared" si="19"/>
        <v>6390458</v>
      </c>
      <c r="AD46" s="56">
        <f t="shared" si="19"/>
        <v>4279103</v>
      </c>
      <c r="AE46" s="56">
        <f t="shared" si="19"/>
        <v>4124936</v>
      </c>
      <c r="AF46" s="56">
        <f t="shared" si="19"/>
        <v>4124936</v>
      </c>
      <c r="AG46" s="56">
        <f t="shared" si="19"/>
        <v>4679027</v>
      </c>
      <c r="AH46" s="56">
        <f t="shared" si="19"/>
        <v>7225263</v>
      </c>
      <c r="AI46" s="56">
        <f t="shared" si="19"/>
        <v>7396633</v>
      </c>
      <c r="AJ46" s="56">
        <f t="shared" si="19"/>
        <v>6602508</v>
      </c>
      <c r="AK46" s="56">
        <f t="shared" si="19"/>
        <v>6602508</v>
      </c>
      <c r="AL46" s="56">
        <f t="shared" si="19"/>
        <v>5745703</v>
      </c>
      <c r="AM46" s="56">
        <f t="shared" si="19"/>
        <v>8299575</v>
      </c>
      <c r="AN46" s="56">
        <v>3432758</v>
      </c>
      <c r="AO46" s="56">
        <f t="shared" ref="AO46:AV46" si="20">SUM(AO36:AO44)</f>
        <v>5711708</v>
      </c>
      <c r="AP46" s="56">
        <f t="shared" si="20"/>
        <v>5847542</v>
      </c>
      <c r="AQ46" s="56">
        <f t="shared" si="20"/>
        <v>9631616</v>
      </c>
      <c r="AR46" s="56">
        <f t="shared" si="20"/>
        <v>4175612</v>
      </c>
      <c r="AS46" s="56">
        <f t="shared" si="20"/>
        <v>4943382</v>
      </c>
      <c r="AT46" s="56">
        <f t="shared" si="20"/>
        <v>7597537</v>
      </c>
      <c r="AU46" s="56">
        <f t="shared" si="20"/>
        <v>7698748</v>
      </c>
      <c r="AV46" s="56">
        <f t="shared" si="20"/>
        <v>10967947</v>
      </c>
      <c r="AW46" s="56">
        <v>12589803</v>
      </c>
      <c r="AX46" s="56">
        <f t="shared" ref="AX46:BR46" si="21">SUM(AX36:AX44)</f>
        <v>6227229</v>
      </c>
      <c r="AY46" s="56">
        <f t="shared" si="21"/>
        <v>8399986</v>
      </c>
      <c r="AZ46" s="56">
        <f t="shared" si="21"/>
        <v>8662027</v>
      </c>
      <c r="BA46" s="56">
        <f t="shared" si="21"/>
        <v>6272279</v>
      </c>
      <c r="BB46" s="56">
        <f t="shared" si="21"/>
        <v>6624376</v>
      </c>
      <c r="BC46" s="56">
        <f t="shared" si="21"/>
        <v>6275644</v>
      </c>
      <c r="BD46" s="56">
        <f t="shared" si="21"/>
        <v>11205003</v>
      </c>
      <c r="BE46" s="56">
        <f t="shared" si="21"/>
        <v>10755505</v>
      </c>
      <c r="BF46" s="56">
        <f t="shared" si="21"/>
        <v>10759729</v>
      </c>
      <c r="BG46" s="56">
        <f t="shared" si="21"/>
        <v>20988782.749779999</v>
      </c>
      <c r="BH46" s="56">
        <f t="shared" si="21"/>
        <v>24259607</v>
      </c>
      <c r="BI46" s="56">
        <f t="shared" si="21"/>
        <v>31151846</v>
      </c>
      <c r="BJ46" s="56">
        <f t="shared" si="21"/>
        <v>31151846</v>
      </c>
      <c r="BK46" s="56">
        <f t="shared" si="21"/>
        <v>24939470</v>
      </c>
      <c r="BL46" s="56">
        <f t="shared" si="21"/>
        <v>25547807</v>
      </c>
      <c r="BM46" s="56">
        <f t="shared" si="21"/>
        <v>23218385</v>
      </c>
      <c r="BN46" s="56">
        <f t="shared" si="21"/>
        <v>31840919</v>
      </c>
      <c r="BO46" s="56">
        <f t="shared" si="21"/>
        <v>31840919</v>
      </c>
      <c r="BP46" s="56">
        <f t="shared" si="21"/>
        <v>22473511</v>
      </c>
      <c r="BQ46" s="56">
        <f t="shared" si="21"/>
        <v>23049415</v>
      </c>
      <c r="BR46" s="56">
        <f t="shared" si="21"/>
        <v>29341420</v>
      </c>
      <c r="BS46" s="56">
        <f t="shared" ref="BS46" si="22">SUM(BS36:BS45)</f>
        <v>41232225</v>
      </c>
      <c r="BT46" s="56">
        <f>SUM(BT36:BT44)</f>
        <v>41232226</v>
      </c>
      <c r="BU46" s="56">
        <f>SUM(BU36:BU45)</f>
        <v>38520670</v>
      </c>
      <c r="BV46" s="56">
        <f t="shared" ref="BV46:BX46" si="23">SUM(BV36:BV45)</f>
        <v>28045443</v>
      </c>
      <c r="BW46" s="56">
        <f t="shared" si="23"/>
        <v>25592509</v>
      </c>
      <c r="BX46" s="56">
        <f t="shared" si="23"/>
        <v>22044082</v>
      </c>
    </row>
    <row r="47" spans="1:76" x14ac:dyDescent="0.3">
      <c r="C47" s="54"/>
      <c r="D47" s="54"/>
      <c r="E47" s="54"/>
      <c r="F47" s="54"/>
      <c r="G47" s="54"/>
      <c r="H47" s="54"/>
      <c r="I47" s="54"/>
      <c r="J47" s="54"/>
      <c r="K47" s="54"/>
      <c r="L47" s="54"/>
      <c r="M47" s="54"/>
      <c r="N47" s="54"/>
      <c r="O47" s="54"/>
      <c r="P47" s="54"/>
      <c r="Q47" s="54"/>
      <c r="R47" s="54"/>
      <c r="S47" s="54"/>
      <c r="T47" s="54"/>
      <c r="U47" s="54"/>
      <c r="V47" s="54"/>
      <c r="W47" s="54"/>
      <c r="X47" s="54"/>
      <c r="Y47" s="54"/>
      <c r="Z47" s="54"/>
      <c r="AA47" s="54"/>
      <c r="AB47" s="54"/>
      <c r="AC47" s="54"/>
      <c r="AD47" s="54"/>
      <c r="AE47" s="54"/>
      <c r="AF47" s="54"/>
      <c r="AG47" s="54"/>
      <c r="AH47" s="54"/>
      <c r="AI47" s="54"/>
      <c r="AJ47" s="54"/>
      <c r="AK47" s="54"/>
      <c r="AL47" s="54"/>
      <c r="AM47" s="54"/>
      <c r="AN47" s="54"/>
      <c r="AO47" s="54"/>
      <c r="AP47" s="54"/>
      <c r="AQ47" s="54"/>
      <c r="AR47" s="47"/>
      <c r="AS47" s="47"/>
      <c r="AT47" s="54"/>
      <c r="AU47" s="54"/>
      <c r="AV47" s="54"/>
      <c r="AW47" s="47"/>
      <c r="AX47" s="47"/>
      <c r="AY47" s="54"/>
      <c r="AZ47" s="54"/>
      <c r="BA47" s="54"/>
      <c r="BB47" s="54"/>
      <c r="BC47" s="54"/>
      <c r="BD47" s="54"/>
      <c r="BE47" s="54"/>
      <c r="BF47" s="54"/>
      <c r="BG47" s="54"/>
      <c r="BH47" s="54"/>
      <c r="BI47" s="54"/>
      <c r="BJ47" s="54"/>
      <c r="BK47" s="54"/>
      <c r="BL47" s="54"/>
      <c r="BM47" s="54"/>
      <c r="BN47" s="54"/>
      <c r="BO47" s="54"/>
      <c r="BP47" s="54"/>
      <c r="BQ47" s="54"/>
      <c r="BR47" s="54"/>
      <c r="BS47" s="54"/>
      <c r="BT47" s="54"/>
      <c r="BU47" s="54"/>
      <c r="BV47" s="54"/>
      <c r="BW47" s="54"/>
      <c r="BX47" s="54"/>
    </row>
    <row r="48" spans="1:76" x14ac:dyDescent="0.3">
      <c r="B48" s="51" t="s">
        <v>435</v>
      </c>
    </row>
    <row r="49" spans="1:76" x14ac:dyDescent="0.3">
      <c r="B49" s="23" t="s">
        <v>119</v>
      </c>
      <c r="C49" s="55">
        <v>0</v>
      </c>
      <c r="D49" s="55">
        <v>0</v>
      </c>
      <c r="E49" s="55">
        <v>0</v>
      </c>
      <c r="F49" s="54">
        <v>829210.19400000002</v>
      </c>
      <c r="G49" s="54">
        <v>829210.19400000002</v>
      </c>
      <c r="H49" s="54">
        <v>845669.49979999999</v>
      </c>
      <c r="I49" s="54">
        <v>823789.99</v>
      </c>
      <c r="J49" s="54">
        <v>8591329.0989999995</v>
      </c>
      <c r="K49" s="54">
        <v>8255347</v>
      </c>
      <c r="L49" s="54">
        <v>8255347</v>
      </c>
      <c r="M49" s="54">
        <v>7899311</v>
      </c>
      <c r="N49" s="54">
        <v>8103284</v>
      </c>
      <c r="O49" s="54">
        <v>11419567</v>
      </c>
      <c r="P49" s="54">
        <v>27270390</v>
      </c>
      <c r="Q49" s="54">
        <v>27270390</v>
      </c>
      <c r="R49" s="54">
        <v>33410998</v>
      </c>
      <c r="S49" s="54">
        <v>33326428</v>
      </c>
      <c r="T49" s="55">
        <v>32382999</v>
      </c>
      <c r="U49" s="54">
        <v>34128710</v>
      </c>
      <c r="V49" s="54">
        <v>34128710</v>
      </c>
      <c r="W49" s="54">
        <v>44292248</v>
      </c>
      <c r="X49" s="54">
        <v>44755271</v>
      </c>
      <c r="Y49" s="54">
        <v>40111672</v>
      </c>
      <c r="Z49" s="54">
        <v>44209408</v>
      </c>
      <c r="AA49" s="54">
        <v>44209408</v>
      </c>
      <c r="AB49" s="54">
        <v>44070114</v>
      </c>
      <c r="AC49" s="54">
        <v>59538748</v>
      </c>
      <c r="AD49" s="54">
        <v>61892728</v>
      </c>
      <c r="AE49" s="54">
        <v>64172642</v>
      </c>
      <c r="AF49" s="54">
        <v>64172642</v>
      </c>
      <c r="AG49" s="54">
        <v>60506320</v>
      </c>
      <c r="AH49" s="54">
        <v>60239108</v>
      </c>
      <c r="AI49" s="54">
        <v>60627448</v>
      </c>
      <c r="AJ49" s="54">
        <v>65587443</v>
      </c>
      <c r="AK49" s="54">
        <v>65587443</v>
      </c>
      <c r="AL49" s="54">
        <v>63096851</v>
      </c>
      <c r="AM49" s="54">
        <v>67407183</v>
      </c>
      <c r="AN49" s="54">
        <v>74090788</v>
      </c>
      <c r="AO49" s="54">
        <v>77175549</v>
      </c>
      <c r="AP49" s="54">
        <v>77175549</v>
      </c>
      <c r="AQ49" s="54">
        <v>76319051</v>
      </c>
      <c r="AR49" s="54">
        <v>98928912</v>
      </c>
      <c r="AS49" s="54">
        <v>98042906</v>
      </c>
      <c r="AT49" s="54">
        <v>104994126</v>
      </c>
      <c r="AU49" s="54">
        <v>104994126</v>
      </c>
      <c r="AV49" s="54">
        <v>125774736</v>
      </c>
      <c r="AW49" s="54">
        <v>133045919</v>
      </c>
      <c r="AX49" s="54">
        <v>144143933</v>
      </c>
      <c r="AY49" s="54">
        <v>122726810</v>
      </c>
      <c r="AZ49" s="54">
        <v>122726810</v>
      </c>
      <c r="BA49" s="54">
        <v>131331593</v>
      </c>
      <c r="BB49" s="54">
        <v>127936822</v>
      </c>
      <c r="BC49" s="54">
        <v>131025112</v>
      </c>
      <c r="BD49" s="54">
        <v>131563333</v>
      </c>
      <c r="BE49" s="54">
        <v>131563333</v>
      </c>
      <c r="BF49" s="54">
        <v>129840704</v>
      </c>
      <c r="BG49" s="54">
        <v>124517930.38427931</v>
      </c>
      <c r="BH49" s="54">
        <v>123755823</v>
      </c>
      <c r="BI49" s="54">
        <v>116479110</v>
      </c>
      <c r="BJ49" s="54">
        <v>116479110</v>
      </c>
      <c r="BK49" s="54">
        <v>116961860</v>
      </c>
      <c r="BL49" s="54">
        <v>111277209</v>
      </c>
      <c r="BM49" s="54">
        <v>115937881</v>
      </c>
      <c r="BN49" s="54">
        <v>105302400</v>
      </c>
      <c r="BO49" s="54">
        <v>105302400</v>
      </c>
      <c r="BP49" s="54">
        <v>115078382</v>
      </c>
      <c r="BQ49" s="54">
        <v>123978162</v>
      </c>
      <c r="BR49" s="54">
        <v>123711369</v>
      </c>
      <c r="BS49" s="54">
        <v>121484853</v>
      </c>
      <c r="BT49" s="54">
        <v>121484853</v>
      </c>
      <c r="BU49" s="54">
        <v>123820059</v>
      </c>
      <c r="BV49" s="54">
        <v>132944482</v>
      </c>
      <c r="BW49" s="54">
        <v>133461892</v>
      </c>
      <c r="BX49" s="54">
        <v>138914573</v>
      </c>
    </row>
    <row r="50" spans="1:76" x14ac:dyDescent="0.3">
      <c r="B50" s="23" t="s">
        <v>320</v>
      </c>
      <c r="C50" s="55"/>
      <c r="D50" s="55"/>
      <c r="E50" s="55"/>
      <c r="F50" s="54"/>
      <c r="G50" s="54"/>
      <c r="H50" s="54"/>
      <c r="I50" s="54"/>
      <c r="J50" s="54"/>
      <c r="K50" s="54"/>
      <c r="L50" s="54"/>
      <c r="M50" s="54"/>
      <c r="N50" s="54"/>
      <c r="O50" s="54"/>
      <c r="P50" s="54"/>
      <c r="Q50" s="54"/>
      <c r="R50" s="54"/>
      <c r="S50" s="54"/>
      <c r="T50" s="55"/>
      <c r="U50" s="54"/>
      <c r="V50" s="54"/>
      <c r="W50" s="54"/>
      <c r="X50" s="54"/>
      <c r="Y50" s="54"/>
      <c r="Z50" s="54"/>
      <c r="AA50" s="54"/>
      <c r="AB50" s="54"/>
      <c r="AC50" s="54"/>
      <c r="AD50" s="54"/>
      <c r="AE50" s="54"/>
      <c r="AF50" s="54"/>
      <c r="AG50" s="54"/>
      <c r="AH50" s="54"/>
      <c r="AI50" s="54"/>
      <c r="AJ50" s="54"/>
      <c r="AK50" s="54"/>
      <c r="AL50" s="54"/>
      <c r="AM50" s="54"/>
      <c r="AN50" s="54"/>
      <c r="AO50" s="54"/>
      <c r="AP50" s="54"/>
      <c r="AQ50" s="54"/>
      <c r="AR50" s="54"/>
      <c r="AS50" s="54"/>
      <c r="AT50" s="54"/>
      <c r="AU50" s="54"/>
      <c r="AV50" s="54"/>
      <c r="AW50" s="54"/>
      <c r="AX50" s="54"/>
      <c r="AY50" s="54"/>
      <c r="AZ50" s="54"/>
      <c r="BA50" s="54"/>
      <c r="BB50" s="54"/>
      <c r="BC50" s="54"/>
      <c r="BD50" s="54"/>
      <c r="BE50" s="54">
        <v>449498</v>
      </c>
      <c r="BF50" s="54">
        <v>418822</v>
      </c>
      <c r="BG50" s="54">
        <v>388144</v>
      </c>
      <c r="BH50" s="54">
        <v>565429</v>
      </c>
      <c r="BI50" s="54">
        <v>535805</v>
      </c>
      <c r="BJ50" s="54">
        <v>535805</v>
      </c>
      <c r="BK50" s="54">
        <v>505470</v>
      </c>
      <c r="BL50" s="54">
        <v>569596</v>
      </c>
      <c r="BM50" s="54">
        <v>618607</v>
      </c>
      <c r="BN50" s="54">
        <v>587930</v>
      </c>
      <c r="BO50" s="54">
        <v>587930</v>
      </c>
      <c r="BP50" s="54">
        <v>557543</v>
      </c>
      <c r="BQ50" s="54">
        <v>464780</v>
      </c>
      <c r="BR50" s="54">
        <v>333574</v>
      </c>
      <c r="BS50" s="54">
        <v>262186</v>
      </c>
      <c r="BT50" s="54">
        <v>262186</v>
      </c>
      <c r="BU50" s="54">
        <v>203582</v>
      </c>
      <c r="BV50" s="54">
        <v>156813</v>
      </c>
      <c r="BW50" s="54">
        <v>85031</v>
      </c>
      <c r="BX50" s="54">
        <v>71040</v>
      </c>
    </row>
    <row r="51" spans="1:76" x14ac:dyDescent="0.3">
      <c r="B51" s="23" t="s">
        <v>321</v>
      </c>
      <c r="C51" s="55">
        <v>0</v>
      </c>
      <c r="D51" s="55">
        <v>1000</v>
      </c>
      <c r="E51" s="55">
        <v>1000</v>
      </c>
      <c r="F51" s="54"/>
      <c r="G51" s="54"/>
      <c r="H51" s="54">
        <v>1000</v>
      </c>
      <c r="I51" s="54">
        <v>1000</v>
      </c>
      <c r="J51" s="54">
        <v>1000</v>
      </c>
      <c r="K51" s="54">
        <v>0</v>
      </c>
      <c r="L51" s="54">
        <v>0</v>
      </c>
      <c r="M51" s="54">
        <v>0</v>
      </c>
      <c r="N51" s="54">
        <v>0</v>
      </c>
      <c r="O51" s="54">
        <v>0</v>
      </c>
      <c r="P51" s="54">
        <v>0</v>
      </c>
      <c r="Q51" s="54">
        <v>0</v>
      </c>
      <c r="R51" s="54">
        <v>0</v>
      </c>
      <c r="S51" s="54">
        <v>0</v>
      </c>
      <c r="T51" s="55">
        <v>0</v>
      </c>
      <c r="U51" s="54">
        <v>0</v>
      </c>
      <c r="V51" s="54">
        <v>0</v>
      </c>
      <c r="W51" s="54">
        <v>0</v>
      </c>
      <c r="X51" s="54">
        <v>0</v>
      </c>
      <c r="Y51" s="54">
        <v>0</v>
      </c>
      <c r="Z51" s="54">
        <v>0</v>
      </c>
      <c r="AA51" s="54">
        <v>0</v>
      </c>
      <c r="AB51" s="54">
        <v>0</v>
      </c>
      <c r="AC51" s="54">
        <v>0</v>
      </c>
      <c r="AD51" s="54">
        <v>129188</v>
      </c>
      <c r="AE51" s="55">
        <v>125530</v>
      </c>
      <c r="AF51" s="55">
        <v>125530</v>
      </c>
      <c r="AG51" s="54">
        <v>114529</v>
      </c>
      <c r="AH51" s="54">
        <v>107169</v>
      </c>
      <c r="AI51" s="54">
        <v>96091</v>
      </c>
      <c r="AJ51" s="54">
        <v>53277</v>
      </c>
      <c r="AK51" s="54">
        <v>53277</v>
      </c>
      <c r="AL51" s="54">
        <v>47989</v>
      </c>
      <c r="AM51" s="54">
        <v>341327</v>
      </c>
      <c r="AN51" s="54">
        <v>292727</v>
      </c>
      <c r="AO51" s="54">
        <v>292727</v>
      </c>
      <c r="AP51" s="54">
        <v>292727</v>
      </c>
      <c r="AQ51" s="54">
        <v>292727</v>
      </c>
      <c r="AR51" s="54">
        <v>292727</v>
      </c>
      <c r="AS51" s="54">
        <v>292727</v>
      </c>
      <c r="AT51" s="54">
        <v>292727</v>
      </c>
      <c r="AU51" s="54">
        <v>292727</v>
      </c>
      <c r="AV51" s="54">
        <v>292727</v>
      </c>
      <c r="AW51" s="54">
        <v>292727</v>
      </c>
      <c r="AX51" s="54">
        <v>292727</v>
      </c>
      <c r="AY51" s="54">
        <v>292727</v>
      </c>
      <c r="AZ51" s="54">
        <v>292727</v>
      </c>
      <c r="BA51" s="54">
        <v>292727</v>
      </c>
      <c r="BB51" s="54">
        <v>292727</v>
      </c>
      <c r="BC51" s="54">
        <v>292727</v>
      </c>
      <c r="BD51" s="54">
        <v>292727</v>
      </c>
      <c r="BE51" s="54">
        <v>292727</v>
      </c>
      <c r="BF51" s="54">
        <v>292727</v>
      </c>
      <c r="BG51" s="54">
        <v>292727</v>
      </c>
      <c r="BH51" s="54">
        <v>292727</v>
      </c>
      <c r="BI51" s="54">
        <v>0</v>
      </c>
      <c r="BJ51" s="54">
        <v>0</v>
      </c>
      <c r="BK51" s="54">
        <v>0</v>
      </c>
      <c r="BL51" s="54">
        <v>0</v>
      </c>
      <c r="BM51" s="54">
        <v>0</v>
      </c>
      <c r="BN51" s="54">
        <v>0</v>
      </c>
      <c r="BO51" s="54">
        <v>0</v>
      </c>
      <c r="BP51" s="54">
        <v>0</v>
      </c>
      <c r="BQ51" s="54">
        <v>0</v>
      </c>
      <c r="BR51" s="54">
        <v>0</v>
      </c>
      <c r="BS51" s="54">
        <v>0</v>
      </c>
      <c r="BT51" s="23">
        <v>0</v>
      </c>
      <c r="BU51" s="54">
        <v>0</v>
      </c>
      <c r="BV51" s="54">
        <v>0</v>
      </c>
      <c r="BW51" s="54">
        <v>0</v>
      </c>
      <c r="BX51" s="54">
        <v>0</v>
      </c>
    </row>
    <row r="52" spans="1:76" x14ac:dyDescent="0.3">
      <c r="B52" s="23" t="s">
        <v>122</v>
      </c>
      <c r="C52" s="55"/>
      <c r="D52" s="55"/>
      <c r="E52" s="55"/>
      <c r="F52" s="54"/>
      <c r="G52" s="54"/>
      <c r="H52" s="54"/>
      <c r="I52" s="54"/>
      <c r="J52" s="54"/>
      <c r="K52" s="54"/>
      <c r="L52" s="54"/>
      <c r="M52" s="54"/>
      <c r="N52" s="54"/>
      <c r="O52" s="54"/>
      <c r="P52" s="54"/>
      <c r="Q52" s="54"/>
      <c r="R52" s="54"/>
      <c r="S52" s="54"/>
      <c r="T52" s="55"/>
      <c r="U52" s="54"/>
      <c r="V52" s="54"/>
      <c r="W52" s="54"/>
      <c r="X52" s="54"/>
      <c r="Y52" s="54"/>
      <c r="Z52" s="54"/>
      <c r="AA52" s="54"/>
      <c r="AB52" s="54">
        <v>0</v>
      </c>
      <c r="AC52" s="54">
        <v>193352</v>
      </c>
      <c r="AD52" s="54">
        <v>0</v>
      </c>
      <c r="AE52" s="54">
        <v>0</v>
      </c>
      <c r="AF52" s="54">
        <v>0</v>
      </c>
      <c r="AG52" s="54">
        <v>643186</v>
      </c>
      <c r="AH52" s="54">
        <v>702515</v>
      </c>
      <c r="AI52" s="54">
        <v>762283</v>
      </c>
      <c r="AJ52" s="54"/>
      <c r="AK52" s="54"/>
      <c r="AL52" s="54">
        <v>907459</v>
      </c>
      <c r="AM52" s="54">
        <v>107537</v>
      </c>
      <c r="AN52" s="54">
        <v>730385</v>
      </c>
      <c r="AO52" s="54">
        <v>0</v>
      </c>
      <c r="AP52" s="54">
        <v>0</v>
      </c>
      <c r="AQ52" s="54">
        <v>177354</v>
      </c>
      <c r="AR52" s="54">
        <v>210790</v>
      </c>
      <c r="AS52" s="54">
        <v>223694</v>
      </c>
      <c r="AT52" s="54">
        <v>666689</v>
      </c>
      <c r="AU52" s="54">
        <v>696921</v>
      </c>
      <c r="AV52" s="54">
        <v>246101</v>
      </c>
      <c r="AW52" s="54">
        <v>451587</v>
      </c>
      <c r="AX52" s="54">
        <v>411895</v>
      </c>
      <c r="AY52" s="54">
        <v>438165</v>
      </c>
      <c r="AZ52" s="54">
        <v>1424436</v>
      </c>
      <c r="BA52" s="54">
        <v>909832</v>
      </c>
      <c r="BB52" s="54">
        <v>706093</v>
      </c>
      <c r="BC52" s="54">
        <v>970276</v>
      </c>
      <c r="BD52" s="54">
        <v>959501</v>
      </c>
      <c r="BE52" s="54">
        <v>959501</v>
      </c>
      <c r="BF52" s="54">
        <v>1550578</v>
      </c>
      <c r="BG52" s="54">
        <v>1380578</v>
      </c>
      <c r="BH52" s="54">
        <v>1677711</v>
      </c>
      <c r="BI52" s="54">
        <v>1926580</v>
      </c>
      <c r="BJ52" s="54">
        <v>1926580</v>
      </c>
      <c r="BK52" s="54">
        <v>3165035</v>
      </c>
      <c r="BL52" s="54">
        <v>3818994</v>
      </c>
      <c r="BM52" s="54">
        <v>4271589</v>
      </c>
      <c r="BN52" s="54">
        <v>4181535</v>
      </c>
      <c r="BO52" s="54">
        <v>4181535</v>
      </c>
      <c r="BP52" s="54">
        <v>4769637</v>
      </c>
      <c r="BQ52" s="54">
        <v>3381333</v>
      </c>
      <c r="BR52" s="54">
        <v>2552557</v>
      </c>
      <c r="BS52" s="54">
        <v>1946025</v>
      </c>
      <c r="BT52" s="54">
        <v>1946025</v>
      </c>
      <c r="BU52" s="54">
        <v>1185720</v>
      </c>
      <c r="BV52" s="54">
        <v>1496566</v>
      </c>
      <c r="BW52" s="54">
        <v>1419685</v>
      </c>
      <c r="BX52" s="54">
        <v>1858439</v>
      </c>
    </row>
    <row r="53" spans="1:76" x14ac:dyDescent="0.3">
      <c r="B53" s="23" t="s">
        <v>123</v>
      </c>
      <c r="C53" s="54">
        <v>20671.310000000001</v>
      </c>
      <c r="D53" s="54">
        <v>37103.339999999997</v>
      </c>
      <c r="E53" s="54">
        <v>37811.398999999998</v>
      </c>
      <c r="F53" s="54">
        <v>38306.097999999998</v>
      </c>
      <c r="G53" s="54">
        <v>38306.097999999998</v>
      </c>
      <c r="H53" s="54">
        <v>38306.097999999998</v>
      </c>
      <c r="I53" s="54">
        <v>46309.504999999997</v>
      </c>
      <c r="J53" s="54">
        <v>164395.76199999999</v>
      </c>
      <c r="K53" s="54">
        <v>166424</v>
      </c>
      <c r="L53" s="54">
        <v>166424</v>
      </c>
      <c r="M53" s="54">
        <v>168997</v>
      </c>
      <c r="N53" s="54">
        <v>193725</v>
      </c>
      <c r="O53" s="54">
        <v>196973</v>
      </c>
      <c r="P53" s="54">
        <v>389578</v>
      </c>
      <c r="Q53" s="54">
        <v>389578</v>
      </c>
      <c r="R53" s="54">
        <v>390992</v>
      </c>
      <c r="S53" s="54">
        <v>444403</v>
      </c>
      <c r="T53" s="55">
        <v>453582</v>
      </c>
      <c r="U53" s="54">
        <v>474809</v>
      </c>
      <c r="V53" s="54">
        <v>474809</v>
      </c>
      <c r="W53" s="54">
        <v>515596</v>
      </c>
      <c r="X53" s="54">
        <v>626318</v>
      </c>
      <c r="Y53" s="54">
        <v>655860</v>
      </c>
      <c r="Z53" s="54">
        <v>702303</v>
      </c>
      <c r="AA53" s="54">
        <v>702303</v>
      </c>
      <c r="AB53" s="54">
        <v>716213</v>
      </c>
      <c r="AC53" s="54">
        <v>749645</v>
      </c>
      <c r="AD53" s="54">
        <v>793068</v>
      </c>
      <c r="AE53" s="54">
        <v>825067</v>
      </c>
      <c r="AF53" s="54">
        <v>825067</v>
      </c>
      <c r="AG53" s="54">
        <v>821736</v>
      </c>
      <c r="AH53" s="54">
        <v>837125</v>
      </c>
      <c r="AI53" s="54">
        <v>853205</v>
      </c>
      <c r="AJ53" s="54">
        <v>921417</v>
      </c>
      <c r="AK53" s="54">
        <v>921417</v>
      </c>
      <c r="AL53" s="54">
        <v>903349</v>
      </c>
      <c r="AM53" s="54">
        <v>942922</v>
      </c>
      <c r="AN53" s="54">
        <v>937438</v>
      </c>
      <c r="AO53" s="54">
        <v>957077</v>
      </c>
      <c r="AP53" s="54">
        <v>957077</v>
      </c>
      <c r="AQ53" s="54">
        <v>963206</v>
      </c>
      <c r="AR53" s="54">
        <v>977209</v>
      </c>
      <c r="AS53" s="54">
        <v>1000254</v>
      </c>
      <c r="AT53" s="54">
        <v>1162532</v>
      </c>
      <c r="AU53" s="54">
        <v>1017592</v>
      </c>
      <c r="AV53" s="54">
        <v>1318997</v>
      </c>
      <c r="AW53" s="54">
        <v>1318775</v>
      </c>
      <c r="AX53" s="54">
        <v>1302593</v>
      </c>
      <c r="AY53" s="54">
        <v>1273029</v>
      </c>
      <c r="AZ53" s="54">
        <v>1103958</v>
      </c>
      <c r="BA53" s="54">
        <v>1285490</v>
      </c>
      <c r="BB53" s="54">
        <v>1296626</v>
      </c>
      <c r="BC53" s="54">
        <v>1402798</v>
      </c>
      <c r="BD53" s="54">
        <v>1095598</v>
      </c>
      <c r="BE53" s="54">
        <v>1095598</v>
      </c>
      <c r="BF53" s="54">
        <v>1102191</v>
      </c>
      <c r="BG53" s="54">
        <v>1157918</v>
      </c>
      <c r="BH53" s="54">
        <v>1210912</v>
      </c>
      <c r="BI53" s="54">
        <v>1354305</v>
      </c>
      <c r="BJ53" s="54">
        <v>1354305</v>
      </c>
      <c r="BK53" s="54">
        <v>1346551</v>
      </c>
      <c r="BL53" s="54">
        <v>1313889</v>
      </c>
      <c r="BM53" s="54">
        <v>1373380</v>
      </c>
      <c r="BN53" s="54">
        <v>1390454</v>
      </c>
      <c r="BO53" s="54">
        <v>1390454</v>
      </c>
      <c r="BP53" s="54">
        <v>1423036</v>
      </c>
      <c r="BQ53" s="54">
        <v>1495408</v>
      </c>
      <c r="BR53" s="54">
        <v>1574101</v>
      </c>
      <c r="BS53" s="54">
        <v>1580349</v>
      </c>
      <c r="BT53" s="54">
        <v>1580349</v>
      </c>
      <c r="BU53" s="54">
        <v>1605832</v>
      </c>
      <c r="BV53" s="54">
        <v>1581242</v>
      </c>
      <c r="BW53" s="54">
        <v>1617605</v>
      </c>
      <c r="BX53" s="54">
        <v>1856562</v>
      </c>
    </row>
    <row r="54" spans="1:76" x14ac:dyDescent="0.3">
      <c r="B54" s="23" t="s">
        <v>124</v>
      </c>
      <c r="C54" s="55">
        <v>0</v>
      </c>
      <c r="D54" s="55">
        <v>0</v>
      </c>
      <c r="E54" s="55">
        <v>0</v>
      </c>
      <c r="F54" s="55">
        <v>0</v>
      </c>
      <c r="G54" s="55">
        <v>0</v>
      </c>
      <c r="H54" s="55">
        <v>0</v>
      </c>
      <c r="I54" s="55">
        <v>0</v>
      </c>
      <c r="J54" s="55">
        <v>0</v>
      </c>
      <c r="K54" s="55">
        <v>68941</v>
      </c>
      <c r="L54" s="55">
        <v>68941</v>
      </c>
      <c r="M54" s="54">
        <v>68941</v>
      </c>
      <c r="N54" s="54">
        <v>45959</v>
      </c>
      <c r="O54" s="54">
        <v>45959</v>
      </c>
      <c r="P54" s="55">
        <v>103445</v>
      </c>
      <c r="Q54" s="55">
        <v>103445</v>
      </c>
      <c r="R54" s="54">
        <v>52229</v>
      </c>
      <c r="S54" s="54">
        <v>78456</v>
      </c>
      <c r="T54" s="55">
        <v>116012</v>
      </c>
      <c r="U54" s="55">
        <v>159174</v>
      </c>
      <c r="V54" s="55">
        <v>159174</v>
      </c>
      <c r="W54" s="54">
        <v>171107</v>
      </c>
      <c r="X54" s="54">
        <v>226762</v>
      </c>
      <c r="Y54" s="54">
        <v>239982</v>
      </c>
      <c r="Z54" s="55">
        <v>261968</v>
      </c>
      <c r="AA54" s="55">
        <v>261968</v>
      </c>
      <c r="AB54" s="54">
        <v>279766</v>
      </c>
      <c r="AC54" s="54">
        <v>237176</v>
      </c>
      <c r="AD54" s="54">
        <v>184844</v>
      </c>
      <c r="AE54" s="55">
        <v>135467</v>
      </c>
      <c r="AF54" s="55">
        <v>135467</v>
      </c>
      <c r="AG54" s="55">
        <v>132536</v>
      </c>
      <c r="AH54" s="54">
        <v>166164</v>
      </c>
      <c r="AI54" s="54">
        <v>196020</v>
      </c>
      <c r="AJ54" s="55">
        <v>276331</v>
      </c>
      <c r="AK54" s="55">
        <v>276331</v>
      </c>
      <c r="AL54" s="54">
        <v>422440</v>
      </c>
      <c r="AM54" s="54">
        <v>389706</v>
      </c>
      <c r="AN54" s="54">
        <v>443795</v>
      </c>
      <c r="AO54" s="55">
        <v>552639</v>
      </c>
      <c r="AP54" s="55">
        <v>416805</v>
      </c>
      <c r="AQ54" s="54">
        <v>638146</v>
      </c>
      <c r="AR54" s="54">
        <v>600219</v>
      </c>
      <c r="AS54" s="54">
        <v>517461</v>
      </c>
      <c r="AT54" s="55">
        <v>611953</v>
      </c>
      <c r="AU54" s="55">
        <v>509160</v>
      </c>
      <c r="AV54" s="54">
        <v>617756</v>
      </c>
      <c r="AW54" s="54">
        <v>622964</v>
      </c>
      <c r="AX54" s="54">
        <v>628303</v>
      </c>
      <c r="AY54" s="55">
        <v>541696</v>
      </c>
      <c r="AZ54" s="55">
        <v>448726</v>
      </c>
      <c r="BA54" s="54">
        <v>450145</v>
      </c>
      <c r="BB54" s="54">
        <v>538977</v>
      </c>
      <c r="BC54" s="54">
        <v>507587</v>
      </c>
      <c r="BD54" s="54">
        <v>565578</v>
      </c>
      <c r="BE54" s="54">
        <v>565578</v>
      </c>
      <c r="BF54" s="54">
        <v>570374</v>
      </c>
      <c r="BG54" s="54">
        <v>613237</v>
      </c>
      <c r="BH54" s="54">
        <v>608729</v>
      </c>
      <c r="BI54" s="54">
        <v>713347</v>
      </c>
      <c r="BJ54" s="54">
        <v>713347</v>
      </c>
      <c r="BK54" s="54">
        <v>689665</v>
      </c>
      <c r="BL54" s="54">
        <v>553647</v>
      </c>
      <c r="BM54" s="54">
        <v>556527</v>
      </c>
      <c r="BN54" s="54">
        <v>567908</v>
      </c>
      <c r="BO54" s="54">
        <v>567908</v>
      </c>
      <c r="BP54" s="54">
        <v>548970</v>
      </c>
      <c r="BQ54" s="54">
        <v>566878</v>
      </c>
      <c r="BR54" s="54">
        <v>561127</v>
      </c>
      <c r="BS54" s="54">
        <v>559062</v>
      </c>
      <c r="BT54" s="54">
        <v>559062</v>
      </c>
      <c r="BU54" s="54">
        <v>559319</v>
      </c>
      <c r="BV54" s="54">
        <v>547177</v>
      </c>
      <c r="BW54" s="54">
        <v>553910</v>
      </c>
      <c r="BX54" s="54">
        <v>588762</v>
      </c>
    </row>
    <row r="55" spans="1:76" s="51" customFormat="1" x14ac:dyDescent="0.3">
      <c r="A55" s="23"/>
      <c r="B55" s="51" t="s">
        <v>429</v>
      </c>
      <c r="C55" s="56">
        <f t="shared" ref="C55:AM55" si="24">SUM(C49:C54)</f>
        <v>20671.310000000001</v>
      </c>
      <c r="D55" s="56">
        <f t="shared" si="24"/>
        <v>38103.339999999997</v>
      </c>
      <c r="E55" s="56">
        <f t="shared" si="24"/>
        <v>38811.398999999998</v>
      </c>
      <c r="F55" s="56">
        <f t="shared" si="24"/>
        <v>867516.29200000002</v>
      </c>
      <c r="G55" s="56">
        <f t="shared" si="24"/>
        <v>867516.29200000002</v>
      </c>
      <c r="H55" s="56">
        <f t="shared" si="24"/>
        <v>884975.59779999999</v>
      </c>
      <c r="I55" s="56">
        <f t="shared" si="24"/>
        <v>871099.495</v>
      </c>
      <c r="J55" s="56">
        <f t="shared" si="24"/>
        <v>8756724.8609999996</v>
      </c>
      <c r="K55" s="56">
        <f t="shared" si="24"/>
        <v>8490712</v>
      </c>
      <c r="L55" s="56">
        <f t="shared" si="24"/>
        <v>8490712</v>
      </c>
      <c r="M55" s="56">
        <f t="shared" si="24"/>
        <v>8137249</v>
      </c>
      <c r="N55" s="56">
        <f t="shared" si="24"/>
        <v>8342968</v>
      </c>
      <c r="O55" s="56">
        <f t="shared" si="24"/>
        <v>11662499</v>
      </c>
      <c r="P55" s="56">
        <f t="shared" si="24"/>
        <v>27763413</v>
      </c>
      <c r="Q55" s="56">
        <f t="shared" si="24"/>
        <v>27763413</v>
      </c>
      <c r="R55" s="56">
        <f t="shared" si="24"/>
        <v>33854219</v>
      </c>
      <c r="S55" s="56">
        <f t="shared" si="24"/>
        <v>33849287</v>
      </c>
      <c r="T55" s="56">
        <f t="shared" si="24"/>
        <v>32952593</v>
      </c>
      <c r="U55" s="56">
        <f t="shared" si="24"/>
        <v>34762693</v>
      </c>
      <c r="V55" s="56">
        <f t="shared" si="24"/>
        <v>34762693</v>
      </c>
      <c r="W55" s="56">
        <f t="shared" si="24"/>
        <v>44978951</v>
      </c>
      <c r="X55" s="56">
        <f t="shared" si="24"/>
        <v>45608351</v>
      </c>
      <c r="Y55" s="56">
        <f t="shared" si="24"/>
        <v>41007514</v>
      </c>
      <c r="Z55" s="56">
        <f t="shared" si="24"/>
        <v>45173679</v>
      </c>
      <c r="AA55" s="56">
        <f t="shared" si="24"/>
        <v>45173679</v>
      </c>
      <c r="AB55" s="56">
        <f t="shared" si="24"/>
        <v>45066093</v>
      </c>
      <c r="AC55" s="56">
        <f t="shared" si="24"/>
        <v>60718921</v>
      </c>
      <c r="AD55" s="56">
        <f t="shared" si="24"/>
        <v>62999828</v>
      </c>
      <c r="AE55" s="56">
        <f t="shared" si="24"/>
        <v>65258706</v>
      </c>
      <c r="AF55" s="56">
        <f t="shared" si="24"/>
        <v>65258706</v>
      </c>
      <c r="AG55" s="56">
        <f t="shared" si="24"/>
        <v>62218307</v>
      </c>
      <c r="AH55" s="56">
        <f t="shared" si="24"/>
        <v>62052081</v>
      </c>
      <c r="AI55" s="56">
        <f t="shared" si="24"/>
        <v>62535047</v>
      </c>
      <c r="AJ55" s="56">
        <f t="shared" si="24"/>
        <v>66838468</v>
      </c>
      <c r="AK55" s="56">
        <f t="shared" si="24"/>
        <v>66838468</v>
      </c>
      <c r="AL55" s="56">
        <f t="shared" si="24"/>
        <v>65378088</v>
      </c>
      <c r="AM55" s="56">
        <f t="shared" si="24"/>
        <v>69188675</v>
      </c>
      <c r="AN55" s="56">
        <v>76495133</v>
      </c>
      <c r="AO55" s="56">
        <f t="shared" ref="AO55:AV55" si="25">SUM(AO49:AO54)</f>
        <v>78977992</v>
      </c>
      <c r="AP55" s="56">
        <f t="shared" si="25"/>
        <v>78842158</v>
      </c>
      <c r="AQ55" s="56">
        <f t="shared" si="25"/>
        <v>78390484</v>
      </c>
      <c r="AR55" s="56">
        <f t="shared" si="25"/>
        <v>101009857</v>
      </c>
      <c r="AS55" s="56">
        <f t="shared" si="25"/>
        <v>100077042</v>
      </c>
      <c r="AT55" s="56">
        <f t="shared" si="25"/>
        <v>107728027</v>
      </c>
      <c r="AU55" s="56">
        <f t="shared" si="25"/>
        <v>107510526</v>
      </c>
      <c r="AV55" s="56">
        <f t="shared" si="25"/>
        <v>128250317</v>
      </c>
      <c r="AW55" s="56">
        <v>135731972</v>
      </c>
      <c r="AX55" s="56">
        <f>SUM(AX49:AX54)</f>
        <v>146779451</v>
      </c>
      <c r="AY55" s="56">
        <f>SUM(AY49:AY54)</f>
        <v>125272427</v>
      </c>
      <c r="AZ55" s="56">
        <f t="shared" ref="AZ55:BA55" si="26">SUM(AZ49:AZ54)</f>
        <v>125996657</v>
      </c>
      <c r="BA55" s="56">
        <f t="shared" si="26"/>
        <v>134269787</v>
      </c>
      <c r="BB55" s="56">
        <f>SUM(BB49:BB54)</f>
        <v>130771245</v>
      </c>
      <c r="BC55" s="56">
        <f>SUM(BC49:BC54)</f>
        <v>134198500</v>
      </c>
      <c r="BD55" s="56">
        <f>SUM(BD49:BD54)</f>
        <v>134476737</v>
      </c>
      <c r="BE55" s="56">
        <f t="shared" ref="BE55:BH55" si="27">SUM(BE49:BE54)</f>
        <v>134926235</v>
      </c>
      <c r="BF55" s="56">
        <f t="shared" si="27"/>
        <v>133775396</v>
      </c>
      <c r="BG55" s="56">
        <f t="shared" si="27"/>
        <v>128350534.38427931</v>
      </c>
      <c r="BH55" s="56">
        <f t="shared" si="27"/>
        <v>128111331</v>
      </c>
      <c r="BI55" s="56">
        <f t="shared" ref="BI55:BS55" si="28">SUM(BI49:BI54)</f>
        <v>121009147</v>
      </c>
      <c r="BJ55" s="56">
        <f t="shared" si="28"/>
        <v>121009147</v>
      </c>
      <c r="BK55" s="56">
        <f t="shared" si="28"/>
        <v>122668581</v>
      </c>
      <c r="BL55" s="56">
        <f t="shared" si="28"/>
        <v>117533335</v>
      </c>
      <c r="BM55" s="56">
        <f t="shared" si="28"/>
        <v>122757984</v>
      </c>
      <c r="BN55" s="56">
        <f t="shared" si="28"/>
        <v>112030227</v>
      </c>
      <c r="BO55" s="56">
        <f t="shared" si="28"/>
        <v>112030227</v>
      </c>
      <c r="BP55" s="56">
        <f t="shared" si="28"/>
        <v>122377568</v>
      </c>
      <c r="BQ55" s="56">
        <f t="shared" si="28"/>
        <v>129886561</v>
      </c>
      <c r="BR55" s="56">
        <f t="shared" si="28"/>
        <v>128732728</v>
      </c>
      <c r="BS55" s="56">
        <f t="shared" si="28"/>
        <v>125832475</v>
      </c>
      <c r="BT55" s="56">
        <f>SUM(BT49:BT54)</f>
        <v>125832475</v>
      </c>
      <c r="BU55" s="56">
        <f t="shared" ref="BU55:BX55" si="29">SUM(BU49:BU54)</f>
        <v>127374512</v>
      </c>
      <c r="BV55" s="56">
        <f t="shared" si="29"/>
        <v>136726280</v>
      </c>
      <c r="BW55" s="56">
        <f t="shared" si="29"/>
        <v>137138123</v>
      </c>
      <c r="BX55" s="56">
        <f t="shared" si="29"/>
        <v>143289376</v>
      </c>
    </row>
    <row r="56" spans="1:76" ht="12.5" thickBot="1" x14ac:dyDescent="0.35">
      <c r="C56" s="54"/>
      <c r="D56" s="54"/>
      <c r="E56" s="54"/>
      <c r="F56" s="54"/>
      <c r="G56" s="54"/>
      <c r="H56" s="54"/>
      <c r="I56" s="54"/>
      <c r="J56" s="54"/>
      <c r="K56" s="54"/>
      <c r="L56" s="54"/>
      <c r="M56" s="54"/>
      <c r="N56" s="54"/>
      <c r="O56" s="54"/>
      <c r="P56" s="54"/>
      <c r="Q56" s="54"/>
      <c r="R56" s="54"/>
      <c r="S56" s="54"/>
      <c r="T56" s="54"/>
      <c r="U56" s="54"/>
      <c r="V56" s="54"/>
      <c r="W56" s="54"/>
      <c r="X56" s="54"/>
      <c r="Y56" s="54"/>
      <c r="Z56" s="54"/>
      <c r="AA56" s="54"/>
      <c r="AB56" s="54"/>
      <c r="AC56" s="54"/>
      <c r="AD56" s="54"/>
      <c r="AE56" s="54"/>
      <c r="AF56" s="54"/>
      <c r="AG56" s="54"/>
      <c r="AH56" s="54"/>
      <c r="AI56" s="54"/>
      <c r="AJ56" s="54"/>
      <c r="AK56" s="54"/>
      <c r="AL56" s="54"/>
      <c r="AM56" s="54"/>
      <c r="AN56" s="54"/>
      <c r="AO56" s="54"/>
      <c r="AP56" s="54"/>
      <c r="AQ56" s="54"/>
      <c r="AR56" s="54"/>
      <c r="AS56" s="54"/>
      <c r="AT56" s="54"/>
      <c r="AU56" s="54"/>
      <c r="AV56" s="54"/>
      <c r="AW56" s="54"/>
      <c r="AX56" s="54"/>
      <c r="AY56" s="54"/>
      <c r="AZ56" s="54"/>
      <c r="BA56" s="54"/>
      <c r="BB56" s="54"/>
      <c r="BC56" s="54"/>
      <c r="BD56" s="54"/>
      <c r="BE56" s="54"/>
      <c r="BF56" s="54"/>
      <c r="BG56" s="54"/>
      <c r="BH56" s="54"/>
      <c r="BI56" s="54"/>
      <c r="BJ56" s="54"/>
      <c r="BK56" s="54"/>
      <c r="BL56" s="54"/>
      <c r="BM56" s="54"/>
      <c r="BN56" s="54"/>
      <c r="BO56" s="54"/>
      <c r="BP56" s="54"/>
      <c r="BQ56" s="54"/>
      <c r="BR56" s="54"/>
      <c r="BS56" s="54"/>
      <c r="BT56" s="54"/>
      <c r="BU56" s="54"/>
      <c r="BV56" s="54"/>
      <c r="BW56" s="54"/>
      <c r="BX56" s="54"/>
    </row>
    <row r="57" spans="1:76" s="51" customFormat="1" ht="12.5" thickTop="1" x14ac:dyDescent="0.3">
      <c r="A57" s="23"/>
      <c r="B57" s="51" t="s">
        <v>125</v>
      </c>
      <c r="C57" s="57">
        <f t="shared" ref="C57:AM57" si="30">C55+C46</f>
        <v>20671.310000000001</v>
      </c>
      <c r="D57" s="57">
        <f t="shared" si="30"/>
        <v>1655518.801</v>
      </c>
      <c r="E57" s="57">
        <f t="shared" si="30"/>
        <v>1640067.1849999998</v>
      </c>
      <c r="F57" s="57">
        <f t="shared" si="30"/>
        <v>1113188.432</v>
      </c>
      <c r="G57" s="57">
        <f>G55+G46</f>
        <v>1113188.432</v>
      </c>
      <c r="H57" s="57">
        <f t="shared" si="30"/>
        <v>1138140.2697999999</v>
      </c>
      <c r="I57" s="57">
        <f t="shared" si="30"/>
        <v>1041249.171</v>
      </c>
      <c r="J57" s="57">
        <f t="shared" si="30"/>
        <v>9685775.8080000002</v>
      </c>
      <c r="K57" s="57">
        <f t="shared" si="30"/>
        <v>9772186</v>
      </c>
      <c r="L57" s="57">
        <f>L55+L46</f>
        <v>9772186</v>
      </c>
      <c r="M57" s="57">
        <f t="shared" si="30"/>
        <v>27828282</v>
      </c>
      <c r="N57" s="57">
        <f t="shared" si="30"/>
        <v>20027128</v>
      </c>
      <c r="O57" s="57">
        <f t="shared" si="30"/>
        <v>15440406</v>
      </c>
      <c r="P57" s="57">
        <f t="shared" si="30"/>
        <v>43115782</v>
      </c>
      <c r="Q57" s="57">
        <f>Q55+Q46</f>
        <v>43115782</v>
      </c>
      <c r="R57" s="57">
        <f t="shared" si="30"/>
        <v>40830829</v>
      </c>
      <c r="S57" s="57">
        <f t="shared" si="30"/>
        <v>40146539</v>
      </c>
      <c r="T57" s="57">
        <f t="shared" si="30"/>
        <v>38747660</v>
      </c>
      <c r="U57" s="57">
        <f t="shared" si="30"/>
        <v>38539663</v>
      </c>
      <c r="V57" s="57">
        <f>V55+V46</f>
        <v>38539663</v>
      </c>
      <c r="W57" s="57">
        <f t="shared" si="30"/>
        <v>50303875</v>
      </c>
      <c r="X57" s="57">
        <f t="shared" si="30"/>
        <v>50553454</v>
      </c>
      <c r="Y57" s="57">
        <f t="shared" si="30"/>
        <v>50603535</v>
      </c>
      <c r="Z57" s="57">
        <f t="shared" si="30"/>
        <v>57414963</v>
      </c>
      <c r="AA57" s="57">
        <f>AA55+AA46</f>
        <v>57942775</v>
      </c>
      <c r="AB57" s="57">
        <f t="shared" si="30"/>
        <v>58175490</v>
      </c>
      <c r="AC57" s="57">
        <f t="shared" si="30"/>
        <v>67109379</v>
      </c>
      <c r="AD57" s="57">
        <f t="shared" si="30"/>
        <v>67278931</v>
      </c>
      <c r="AE57" s="57">
        <f t="shared" si="30"/>
        <v>69383642</v>
      </c>
      <c r="AF57" s="57">
        <f>AF55+AF46</f>
        <v>69383642</v>
      </c>
      <c r="AG57" s="57">
        <f t="shared" si="30"/>
        <v>66897334</v>
      </c>
      <c r="AH57" s="57">
        <f t="shared" si="30"/>
        <v>69277344</v>
      </c>
      <c r="AI57" s="57">
        <f t="shared" si="30"/>
        <v>69931680</v>
      </c>
      <c r="AJ57" s="57">
        <f t="shared" si="30"/>
        <v>73440976</v>
      </c>
      <c r="AK57" s="57">
        <f>AK55+AK46</f>
        <v>73440976</v>
      </c>
      <c r="AL57" s="57">
        <f t="shared" si="30"/>
        <v>71123791</v>
      </c>
      <c r="AM57" s="57">
        <f t="shared" si="30"/>
        <v>77488250</v>
      </c>
      <c r="AN57" s="57">
        <v>79927891</v>
      </c>
      <c r="AO57" s="57">
        <f t="shared" ref="AO57:AV57" si="31">AO55+AO46</f>
        <v>84689700</v>
      </c>
      <c r="AP57" s="57">
        <f>AP55+AP46</f>
        <v>84689700</v>
      </c>
      <c r="AQ57" s="57">
        <f t="shared" si="31"/>
        <v>88022100</v>
      </c>
      <c r="AR57" s="57">
        <f t="shared" si="31"/>
        <v>105185469</v>
      </c>
      <c r="AS57" s="57">
        <f t="shared" si="31"/>
        <v>105020424</v>
      </c>
      <c r="AT57" s="57">
        <f t="shared" si="31"/>
        <v>115325564</v>
      </c>
      <c r="AU57" s="57">
        <f>AU55+AU46</f>
        <v>115209274</v>
      </c>
      <c r="AV57" s="57">
        <f t="shared" si="31"/>
        <v>139218264</v>
      </c>
      <c r="AW57" s="57">
        <v>148321775</v>
      </c>
      <c r="AX57" s="57">
        <f>AX46+AX55</f>
        <v>153006680</v>
      </c>
      <c r="AY57" s="57">
        <f>AY46+AY55</f>
        <v>133672413</v>
      </c>
      <c r="AZ57" s="57">
        <f>AZ55+AZ46</f>
        <v>134658684</v>
      </c>
      <c r="BA57" s="57">
        <f t="shared" ref="BA57" si="32">BA55+BA46</f>
        <v>140542066</v>
      </c>
      <c r="BB57" s="57">
        <f>BB55+BB46</f>
        <v>137395621</v>
      </c>
      <c r="BC57" s="57">
        <f>BC55+BC46</f>
        <v>140474144</v>
      </c>
      <c r="BD57" s="57">
        <f>BD55+BD46</f>
        <v>145681740</v>
      </c>
      <c r="BE57" s="57">
        <f>BE55+BE46</f>
        <v>145681740</v>
      </c>
      <c r="BF57" s="57">
        <f t="shared" ref="BF57:BH57" si="33">BF55+BF46</f>
        <v>144535125</v>
      </c>
      <c r="BG57" s="57">
        <f t="shared" si="33"/>
        <v>149339317.13405931</v>
      </c>
      <c r="BH57" s="57">
        <f t="shared" si="33"/>
        <v>152370938</v>
      </c>
      <c r="BI57" s="57">
        <f t="shared" ref="BI57:BS57" si="34">BI55+BI46</f>
        <v>152160993</v>
      </c>
      <c r="BJ57" s="57">
        <f t="shared" si="34"/>
        <v>152160993</v>
      </c>
      <c r="BK57" s="57">
        <f t="shared" si="34"/>
        <v>147608051</v>
      </c>
      <c r="BL57" s="57">
        <f t="shared" si="34"/>
        <v>143081142</v>
      </c>
      <c r="BM57" s="57">
        <f t="shared" si="34"/>
        <v>145976369</v>
      </c>
      <c r="BN57" s="57">
        <f t="shared" si="34"/>
        <v>143871146</v>
      </c>
      <c r="BO57" s="57">
        <f t="shared" si="34"/>
        <v>143871146</v>
      </c>
      <c r="BP57" s="57">
        <f t="shared" si="34"/>
        <v>144851079</v>
      </c>
      <c r="BQ57" s="57">
        <f t="shared" si="34"/>
        <v>152935976</v>
      </c>
      <c r="BR57" s="57">
        <f t="shared" si="34"/>
        <v>158074148</v>
      </c>
      <c r="BS57" s="57">
        <f t="shared" si="34"/>
        <v>167064700</v>
      </c>
      <c r="BT57" s="57">
        <f>BT55+BT46</f>
        <v>167064701</v>
      </c>
      <c r="BU57" s="57">
        <f t="shared" ref="BU57:BX57" si="35">BU55+BU46</f>
        <v>165895182</v>
      </c>
      <c r="BV57" s="57">
        <f t="shared" si="35"/>
        <v>164771723</v>
      </c>
      <c r="BW57" s="57">
        <f t="shared" si="35"/>
        <v>162730632</v>
      </c>
      <c r="BX57" s="57">
        <f t="shared" si="35"/>
        <v>165333458</v>
      </c>
    </row>
    <row r="58" spans="1:76" x14ac:dyDescent="0.3">
      <c r="C58" s="54"/>
      <c r="D58" s="54"/>
      <c r="E58" s="54"/>
      <c r="F58" s="54"/>
      <c r="G58" s="54"/>
      <c r="H58" s="54"/>
      <c r="I58" s="54"/>
      <c r="J58" s="54"/>
      <c r="K58" s="54"/>
      <c r="L58" s="54"/>
      <c r="M58" s="54"/>
      <c r="N58" s="54"/>
      <c r="O58" s="54"/>
      <c r="P58" s="54"/>
      <c r="Q58" s="54"/>
      <c r="R58" s="54"/>
      <c r="S58" s="54"/>
      <c r="T58" s="54"/>
      <c r="U58" s="54"/>
      <c r="V58" s="54"/>
      <c r="W58" s="54"/>
      <c r="X58" s="54"/>
      <c r="Y58" s="54"/>
      <c r="Z58" s="54"/>
      <c r="AA58" s="54"/>
      <c r="AB58" s="54"/>
      <c r="AC58" s="54"/>
      <c r="AD58" s="54"/>
      <c r="AE58" s="54"/>
      <c r="AF58" s="54"/>
      <c r="AG58" s="54"/>
      <c r="AH58" s="54"/>
      <c r="AI58" s="54"/>
      <c r="AJ58" s="54"/>
      <c r="AK58" s="54"/>
      <c r="AL58" s="54"/>
      <c r="AM58" s="54"/>
      <c r="AN58" s="54"/>
      <c r="AO58" s="54"/>
      <c r="AP58" s="54"/>
      <c r="AQ58" s="54"/>
      <c r="AR58" s="47"/>
      <c r="AS58" s="47"/>
      <c r="AT58" s="54"/>
      <c r="AU58" s="54"/>
      <c r="AV58" s="54"/>
      <c r="AW58" s="47"/>
      <c r="AX58" s="47"/>
      <c r="AY58" s="54"/>
      <c r="AZ58" s="54"/>
      <c r="BA58" s="54"/>
      <c r="BB58" s="54"/>
      <c r="BC58" s="54"/>
      <c r="BD58" s="54"/>
      <c r="BE58" s="54"/>
      <c r="BF58" s="54"/>
      <c r="BG58" s="54"/>
      <c r="BH58" s="54"/>
      <c r="BI58" s="54"/>
      <c r="BJ58" s="54"/>
      <c r="BK58" s="54"/>
      <c r="BL58" s="54"/>
      <c r="BM58" s="54"/>
      <c r="BN58" s="54"/>
      <c r="BO58" s="54"/>
      <c r="BP58" s="54"/>
      <c r="BQ58" s="54"/>
      <c r="BR58" s="54"/>
      <c r="BS58" s="54"/>
      <c r="BT58" s="54"/>
      <c r="BU58" s="54"/>
      <c r="BV58" s="54"/>
      <c r="BW58" s="54"/>
      <c r="BX58" s="54"/>
    </row>
    <row r="59" spans="1:76" x14ac:dyDescent="0.3">
      <c r="B59" s="51" t="s">
        <v>430</v>
      </c>
      <c r="C59" s="54"/>
      <c r="D59" s="54"/>
      <c r="E59" s="54"/>
      <c r="F59" s="54"/>
      <c r="G59" s="54"/>
      <c r="H59" s="54"/>
      <c r="I59" s="54"/>
      <c r="J59" s="54"/>
      <c r="K59" s="54"/>
      <c r="L59" s="54"/>
      <c r="M59" s="54"/>
      <c r="N59" s="54"/>
      <c r="O59" s="54"/>
      <c r="P59" s="54"/>
      <c r="Q59" s="54"/>
      <c r="R59" s="54"/>
      <c r="S59" s="54"/>
      <c r="T59" s="54"/>
      <c r="U59" s="54"/>
      <c r="V59" s="54"/>
      <c r="W59" s="54"/>
      <c r="X59" s="54"/>
      <c r="Y59" s="54"/>
      <c r="Z59" s="54"/>
      <c r="AA59" s="54"/>
      <c r="AB59" s="54"/>
      <c r="AC59" s="54"/>
      <c r="AD59" s="54"/>
      <c r="AE59" s="54"/>
      <c r="AF59" s="54"/>
      <c r="AG59" s="54"/>
      <c r="AH59" s="54"/>
      <c r="AI59" s="54"/>
      <c r="AJ59" s="54"/>
      <c r="AK59" s="54"/>
      <c r="AL59" s="54"/>
      <c r="AM59" s="54"/>
      <c r="AN59" s="54"/>
      <c r="AO59" s="54"/>
      <c r="AP59" s="54"/>
      <c r="AQ59" s="54"/>
      <c r="AR59" s="47"/>
      <c r="AS59" s="47"/>
      <c r="AT59" s="54"/>
      <c r="AU59" s="54"/>
      <c r="AV59" s="54"/>
      <c r="AW59" s="47"/>
      <c r="AX59" s="47"/>
      <c r="AY59" s="54"/>
      <c r="AZ59" s="54"/>
      <c r="BA59" s="54"/>
      <c r="BB59" s="54"/>
      <c r="BC59" s="54"/>
      <c r="BD59" s="54"/>
      <c r="BE59" s="54"/>
      <c r="BF59" s="54"/>
      <c r="BG59" s="54"/>
      <c r="BH59" s="54"/>
      <c r="BI59" s="54"/>
      <c r="BJ59" s="54"/>
      <c r="BK59" s="54"/>
      <c r="BL59" s="54"/>
      <c r="BM59" s="54"/>
      <c r="BN59" s="54"/>
      <c r="BO59" s="54"/>
      <c r="BP59" s="54"/>
      <c r="BQ59" s="54"/>
      <c r="BR59" s="54"/>
      <c r="BS59" s="54"/>
      <c r="BT59" s="54"/>
      <c r="BU59" s="54"/>
      <c r="BV59" s="54"/>
      <c r="BW59" s="54"/>
      <c r="BX59" s="54"/>
    </row>
    <row r="60" spans="1:76" x14ac:dyDescent="0.3">
      <c r="B60" s="23" t="s">
        <v>126</v>
      </c>
      <c r="C60" s="54">
        <f>1+7266786.455</f>
        <v>7266787.4550000001</v>
      </c>
      <c r="D60" s="54">
        <f>1+7992692.037</f>
        <v>7992693.0369999995</v>
      </c>
      <c r="E60" s="54">
        <f>1+7953895.786</f>
        <v>7953896.7860000003</v>
      </c>
      <c r="F60" s="54">
        <f>7875938.973</f>
        <v>7875938.9730000002</v>
      </c>
      <c r="G60" s="54">
        <v>7875938.9730000002</v>
      </c>
      <c r="H60" s="54">
        <f>1+15150792.403+2624416.064</f>
        <v>17775209.467</v>
      </c>
      <c r="I60" s="54">
        <f>1+17252285.619+2824014.645</f>
        <v>20076301.263999999</v>
      </c>
      <c r="J60" s="54">
        <f>1+20410043.169+2824014.645</f>
        <v>23234058.813999999</v>
      </c>
      <c r="K60" s="54">
        <v>23013953</v>
      </c>
      <c r="L60" s="54">
        <v>23013953</v>
      </c>
      <c r="M60" s="54">
        <v>43994320</v>
      </c>
      <c r="N60" s="54">
        <v>50202807</v>
      </c>
      <c r="O60" s="54">
        <v>49990147</v>
      </c>
      <c r="P60" s="54">
        <v>49914979</v>
      </c>
      <c r="Q60" s="54">
        <v>49914979</v>
      </c>
      <c r="R60" s="54">
        <v>53397245</v>
      </c>
      <c r="S60" s="54">
        <v>90347624</v>
      </c>
      <c r="T60" s="55">
        <v>90053434</v>
      </c>
      <c r="U60" s="54">
        <v>93500173</v>
      </c>
      <c r="V60" s="54">
        <v>93500173</v>
      </c>
      <c r="W60" s="54">
        <v>92092652</v>
      </c>
      <c r="X60" s="54">
        <v>93062033</v>
      </c>
      <c r="Y60" s="54">
        <v>93729483</v>
      </c>
      <c r="Z60" s="54">
        <v>97742580</v>
      </c>
      <c r="AA60" s="54">
        <v>97742581</v>
      </c>
      <c r="AB60" s="54">
        <v>96237614</v>
      </c>
      <c r="AC60" s="54">
        <v>97262939</v>
      </c>
      <c r="AD60" s="54">
        <v>98041723</v>
      </c>
      <c r="AE60" s="54">
        <v>95383575</v>
      </c>
      <c r="AF60" s="54">
        <v>95383575</v>
      </c>
      <c r="AG60" s="54">
        <v>95111044</v>
      </c>
      <c r="AH60" s="54">
        <v>94925839</v>
      </c>
      <c r="AI60" s="54">
        <v>95523513</v>
      </c>
      <c r="AJ60" s="54">
        <v>113541663</v>
      </c>
      <c r="AK60" s="54">
        <v>113541663</v>
      </c>
      <c r="AL60" s="54">
        <v>112952438</v>
      </c>
      <c r="AM60" s="54">
        <v>113176153</v>
      </c>
      <c r="AN60" s="54">
        <v>113841646</v>
      </c>
      <c r="AO60" s="54">
        <v>112947866</v>
      </c>
      <c r="AP60" s="54">
        <v>112947866</v>
      </c>
      <c r="AQ60" s="54">
        <v>112076186</v>
      </c>
      <c r="AR60" s="54">
        <v>111614239</v>
      </c>
      <c r="AS60" s="54">
        <v>110942000</v>
      </c>
      <c r="AT60" s="54">
        <v>109935017</v>
      </c>
      <c r="AU60" s="54">
        <v>109935017</v>
      </c>
      <c r="AV60" s="54">
        <v>108890264</v>
      </c>
      <c r="AW60" s="54">
        <v>107717001</v>
      </c>
      <c r="AX60" s="54">
        <v>107178192</v>
      </c>
      <c r="AY60" s="54">
        <v>106183896</v>
      </c>
      <c r="AZ60" s="54">
        <v>106183896</v>
      </c>
      <c r="BA60" s="54">
        <f>'[7]BG Mar21'!$E$51</f>
        <v>106265646</v>
      </c>
      <c r="BB60" s="54">
        <v>105909404</v>
      </c>
      <c r="BC60" s="54">
        <v>105550523</v>
      </c>
      <c r="BD60" s="54">
        <v>105407873</v>
      </c>
      <c r="BE60" s="54">
        <v>105407873</v>
      </c>
      <c r="BF60" s="54">
        <v>105497448</v>
      </c>
      <c r="BG60" s="54">
        <v>105553073</v>
      </c>
      <c r="BH60" s="54">
        <v>105625673</v>
      </c>
      <c r="BI60" s="54">
        <v>106051073</v>
      </c>
      <c r="BJ60" s="54">
        <v>106051073</v>
      </c>
      <c r="BK60" s="54">
        <v>106154573</v>
      </c>
      <c r="BL60" s="54">
        <v>106258073</v>
      </c>
      <c r="BM60" s="54">
        <v>106292498</v>
      </c>
      <c r="BN60" s="54">
        <v>106372973</v>
      </c>
      <c r="BO60" s="54">
        <v>106372973</v>
      </c>
      <c r="BP60" s="54">
        <v>106372973</v>
      </c>
      <c r="BQ60" s="54">
        <v>106501355</v>
      </c>
      <c r="BR60" s="54">
        <v>106565546</v>
      </c>
      <c r="BS60" s="54">
        <v>106483415</v>
      </c>
      <c r="BT60" s="54">
        <v>105623400</v>
      </c>
      <c r="BU60" s="54">
        <v>103780121</v>
      </c>
      <c r="BV60" s="54">
        <v>103807731</v>
      </c>
      <c r="BW60" s="54">
        <v>103835341</v>
      </c>
      <c r="BX60" s="54">
        <v>102379312</v>
      </c>
    </row>
    <row r="61" spans="1:76" x14ac:dyDescent="0.3">
      <c r="B61" s="23" t="s">
        <v>410</v>
      </c>
      <c r="C61" s="54"/>
      <c r="D61" s="54"/>
      <c r="E61" s="54"/>
      <c r="F61" s="54"/>
      <c r="G61" s="54"/>
      <c r="H61" s="54"/>
      <c r="I61" s="54"/>
      <c r="J61" s="54"/>
      <c r="K61" s="54"/>
      <c r="L61" s="54"/>
      <c r="M61" s="54"/>
      <c r="N61" s="54"/>
      <c r="O61" s="54"/>
      <c r="P61" s="54"/>
      <c r="Q61" s="54"/>
      <c r="R61" s="54"/>
      <c r="S61" s="54"/>
      <c r="T61" s="55"/>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4"/>
      <c r="BK61" s="54"/>
      <c r="BL61" s="54"/>
      <c r="BM61" s="54"/>
      <c r="BN61" s="54"/>
      <c r="BO61" s="54"/>
      <c r="BP61" s="54"/>
      <c r="BQ61" s="54"/>
      <c r="BR61" s="54"/>
      <c r="BS61" s="54">
        <v>-860015</v>
      </c>
      <c r="BT61" s="54">
        <v>0</v>
      </c>
      <c r="BU61" s="54">
        <v>0</v>
      </c>
      <c r="BV61" s="54">
        <v>0</v>
      </c>
      <c r="BW61" s="54">
        <v>0</v>
      </c>
      <c r="BX61" s="54">
        <v>0</v>
      </c>
    </row>
    <row r="62" spans="1:76" x14ac:dyDescent="0.3">
      <c r="B62" s="23" t="s">
        <v>431</v>
      </c>
      <c r="C62" s="54">
        <v>15239.724</v>
      </c>
      <c r="D62" s="54">
        <v>110950.792</v>
      </c>
      <c r="E62" s="54">
        <v>182904.508</v>
      </c>
      <c r="F62" s="54">
        <v>229934.19500000001</v>
      </c>
      <c r="G62" s="54">
        <v>229934.19500000001</v>
      </c>
      <c r="H62" s="54">
        <v>258743.17199999999</v>
      </c>
      <c r="I62" s="54">
        <v>567246.76699999999</v>
      </c>
      <c r="J62" s="54">
        <v>942087.90899999999</v>
      </c>
      <c r="K62" s="54">
        <v>1010759</v>
      </c>
      <c r="L62" s="54">
        <v>1010759</v>
      </c>
      <c r="M62" s="54">
        <v>1500436</v>
      </c>
      <c r="N62" s="54">
        <v>1545320</v>
      </c>
      <c r="O62" s="54">
        <v>1896591</v>
      </c>
      <c r="P62" s="54">
        <v>8299234</v>
      </c>
      <c r="Q62" s="54">
        <v>8299234</v>
      </c>
      <c r="R62" s="54">
        <v>8915452</v>
      </c>
      <c r="S62" s="54">
        <v>10019095</v>
      </c>
      <c r="T62" s="55">
        <v>10015494</v>
      </c>
      <c r="U62" s="54">
        <v>11575298</v>
      </c>
      <c r="V62" s="54">
        <v>11575298</v>
      </c>
      <c r="W62" s="54">
        <v>12968250</v>
      </c>
      <c r="X62" s="54">
        <v>13497403</v>
      </c>
      <c r="Y62" s="54">
        <v>13090576</v>
      </c>
      <c r="Z62" s="54">
        <v>15615798</v>
      </c>
      <c r="AA62" s="54">
        <v>15615797</v>
      </c>
      <c r="AB62" s="54">
        <v>18353809</v>
      </c>
      <c r="AC62" s="54">
        <v>18701073</v>
      </c>
      <c r="AD62" s="54">
        <v>18809083</v>
      </c>
      <c r="AE62" s="54">
        <f>20629570+4895099-103006</f>
        <v>25421663</v>
      </c>
      <c r="AF62" s="54">
        <v>20629570</v>
      </c>
      <c r="AG62" s="54">
        <v>30389077</v>
      </c>
      <c r="AH62" s="54">
        <f>32375413-133315</f>
        <v>32242098</v>
      </c>
      <c r="AI62" s="54">
        <f>32734417-140330</f>
        <v>32594087</v>
      </c>
      <c r="AJ62" s="54">
        <f>27642558-19865+4895099</f>
        <v>32517792</v>
      </c>
      <c r="AK62" s="54">
        <v>27642558</v>
      </c>
      <c r="AL62" s="54">
        <f>31294298+68030+4890110</f>
        <v>36252438</v>
      </c>
      <c r="AM62" s="54">
        <f>29748186-117216+4056842</f>
        <v>33687812</v>
      </c>
      <c r="AN62" s="54">
        <v>35792241</v>
      </c>
      <c r="AO62" s="54">
        <f>38147660+1408+2894230</f>
        <v>41043298</v>
      </c>
      <c r="AP62" s="54">
        <v>38147660</v>
      </c>
      <c r="AQ62" s="54">
        <f>41059758-136872+2894230</f>
        <v>43817116</v>
      </c>
      <c r="AR62" s="54">
        <f>44915081-323179+2894230</f>
        <v>47486132</v>
      </c>
      <c r="AS62" s="54">
        <f>45457070-729416+2894230</f>
        <v>47621884</v>
      </c>
      <c r="AT62" s="54">
        <f>51312488-697358+2894230</f>
        <v>53509360</v>
      </c>
      <c r="AU62" s="54">
        <v>50675000</v>
      </c>
      <c r="AV62" s="54">
        <v>36349168</v>
      </c>
      <c r="AW62" s="54">
        <v>47554204</v>
      </c>
      <c r="AX62" s="54">
        <v>51485120</v>
      </c>
      <c r="AY62" s="54">
        <v>61752456</v>
      </c>
      <c r="AZ62" s="54">
        <v>61752456</v>
      </c>
      <c r="BA62" s="54">
        <f>'[7]BG Mar21'!$E$52</f>
        <v>60134601</v>
      </c>
      <c r="BB62" s="54">
        <v>60852520</v>
      </c>
      <c r="BC62" s="54">
        <v>56613754</v>
      </c>
      <c r="BD62" s="54">
        <v>58826408</v>
      </c>
      <c r="BE62" s="54">
        <v>58826408</v>
      </c>
      <c r="BF62" s="54">
        <v>60334313</v>
      </c>
      <c r="BG62" s="54">
        <v>61277790</v>
      </c>
      <c r="BH62" s="54">
        <v>63557350</v>
      </c>
      <c r="BI62" s="54">
        <v>73814800</v>
      </c>
      <c r="BJ62" s="54">
        <v>73814800</v>
      </c>
      <c r="BK62" s="54">
        <v>76039684</v>
      </c>
      <c r="BL62" s="54">
        <v>80146071</v>
      </c>
      <c r="BM62" s="54">
        <v>77308734</v>
      </c>
      <c r="BN62" s="54">
        <v>80901128</v>
      </c>
      <c r="BO62" s="54">
        <v>80901128</v>
      </c>
      <c r="BP62" s="54">
        <v>81043076</v>
      </c>
      <c r="BQ62" s="54">
        <v>83930422</v>
      </c>
      <c r="BR62" s="54">
        <v>80764967</v>
      </c>
      <c r="BS62" s="54">
        <v>82981184</v>
      </c>
      <c r="BT62" s="54">
        <v>82981184</v>
      </c>
      <c r="BU62" s="54">
        <v>84145524</v>
      </c>
      <c r="BV62" s="54">
        <v>87336823</v>
      </c>
      <c r="BW62" s="54">
        <v>88807932</v>
      </c>
      <c r="BX62" s="54">
        <v>100285720</v>
      </c>
    </row>
    <row r="63" spans="1:76" x14ac:dyDescent="0.3">
      <c r="B63" s="23" t="s">
        <v>355</v>
      </c>
      <c r="C63" s="54"/>
      <c r="D63" s="54"/>
      <c r="E63" s="54"/>
      <c r="F63" s="54"/>
      <c r="G63" s="54"/>
      <c r="H63" s="54"/>
      <c r="I63" s="54"/>
      <c r="J63" s="54"/>
      <c r="K63" s="54"/>
      <c r="L63" s="54"/>
      <c r="M63" s="54"/>
      <c r="N63" s="54"/>
      <c r="O63" s="54"/>
      <c r="P63" s="54"/>
      <c r="Q63" s="54"/>
      <c r="R63" s="54"/>
      <c r="S63" s="54"/>
      <c r="T63" s="55"/>
      <c r="U63" s="54"/>
      <c r="V63" s="54"/>
      <c r="W63" s="54"/>
      <c r="X63" s="54"/>
      <c r="Y63" s="54"/>
      <c r="Z63" s="54"/>
      <c r="AA63" s="54"/>
      <c r="AB63" s="54"/>
      <c r="AC63" s="54"/>
      <c r="AD63" s="54"/>
      <c r="AE63" s="54"/>
      <c r="AF63" s="54">
        <v>-103006</v>
      </c>
      <c r="AG63" s="54"/>
      <c r="AH63" s="54"/>
      <c r="AI63" s="54"/>
      <c r="AJ63" s="54"/>
      <c r="AK63" s="54">
        <v>-19865</v>
      </c>
      <c r="AL63" s="54"/>
      <c r="AM63" s="54"/>
      <c r="AN63" s="54"/>
      <c r="AO63" s="54"/>
      <c r="AP63" s="54">
        <v>1408</v>
      </c>
      <c r="AQ63" s="54"/>
      <c r="AR63" s="54"/>
      <c r="AS63" s="54"/>
      <c r="AT63" s="54"/>
      <c r="AU63" s="54">
        <v>-611417</v>
      </c>
      <c r="AV63" s="54"/>
      <c r="AW63" s="54">
        <v>-1314272</v>
      </c>
      <c r="AX63" s="54">
        <v>-1040333</v>
      </c>
      <c r="AY63" s="54">
        <v>-996626</v>
      </c>
      <c r="AZ63" s="54">
        <v>-996626</v>
      </c>
      <c r="BA63" s="54">
        <f>'[7]BG Mar21'!$E$53</f>
        <v>-626070</v>
      </c>
      <c r="BB63" s="54">
        <v>-381117</v>
      </c>
      <c r="BC63" s="54">
        <v>-1059968</v>
      </c>
      <c r="BD63" s="54">
        <v>-1003836</v>
      </c>
      <c r="BE63" s="54">
        <v>-1003836</v>
      </c>
      <c r="BF63" s="54">
        <v>-1254523</v>
      </c>
      <c r="BG63" s="54">
        <v>-1118817</v>
      </c>
      <c r="BH63" s="54">
        <v>-1286331</v>
      </c>
      <c r="BI63" s="54">
        <v>-1345796</v>
      </c>
      <c r="BJ63" s="54">
        <v>-1345796</v>
      </c>
      <c r="BK63" s="54">
        <v>-1113051</v>
      </c>
      <c r="BL63" s="54">
        <v>-945411</v>
      </c>
      <c r="BM63" s="54">
        <v>-1592718</v>
      </c>
      <c r="BN63" s="54">
        <v>-1103598</v>
      </c>
      <c r="BO63" s="54">
        <v>-1103598</v>
      </c>
      <c r="BP63" s="54">
        <v>-1125830</v>
      </c>
      <c r="BQ63" s="54">
        <v>-1967004</v>
      </c>
      <c r="BR63" s="54">
        <v>-3088400</v>
      </c>
      <c r="BS63" s="54">
        <v>-3527652</v>
      </c>
      <c r="BT63" s="54">
        <v>-3527652</v>
      </c>
      <c r="BU63" s="54">
        <v>-3407000</v>
      </c>
      <c r="BV63" s="54">
        <v>-2378539</v>
      </c>
      <c r="BW63" s="54">
        <v>-1838415</v>
      </c>
      <c r="BX63" s="54">
        <v>-1647475</v>
      </c>
    </row>
    <row r="64" spans="1:76" x14ac:dyDescent="0.3">
      <c r="B64" s="23" t="s">
        <v>315</v>
      </c>
      <c r="C64" s="54"/>
      <c r="D64" s="54"/>
      <c r="E64" s="54"/>
      <c r="F64" s="54"/>
      <c r="G64" s="54"/>
      <c r="H64" s="54"/>
      <c r="I64" s="54"/>
      <c r="J64" s="54"/>
      <c r="K64" s="54"/>
      <c r="L64" s="54"/>
      <c r="M64" s="54"/>
      <c r="N64" s="54"/>
      <c r="O64" s="54"/>
      <c r="P64" s="54"/>
      <c r="Q64" s="54"/>
      <c r="R64" s="54"/>
      <c r="S64" s="54"/>
      <c r="T64" s="55"/>
      <c r="U64" s="54"/>
      <c r="V64" s="54"/>
      <c r="W64" s="54"/>
      <c r="X64" s="54"/>
      <c r="Y64" s="54"/>
      <c r="Z64" s="54"/>
      <c r="AA64" s="54"/>
      <c r="AB64" s="54"/>
      <c r="AC64" s="54"/>
      <c r="AD64" s="54"/>
      <c r="AE64" s="54"/>
      <c r="AF64" s="54"/>
      <c r="AG64" s="54"/>
      <c r="AH64" s="54"/>
      <c r="AI64" s="54"/>
      <c r="AJ64" s="54"/>
      <c r="AK64" s="54"/>
      <c r="AL64" s="54"/>
      <c r="AM64" s="54"/>
      <c r="AN64" s="54"/>
      <c r="AO64" s="54"/>
      <c r="AP64" s="54"/>
      <c r="AQ64" s="54"/>
      <c r="AR64" s="54"/>
      <c r="AS64" s="54"/>
      <c r="AT64" s="54"/>
      <c r="AU64" s="54"/>
      <c r="AV64" s="54"/>
      <c r="AW64" s="54"/>
      <c r="AX64" s="54"/>
      <c r="AY64" s="54"/>
      <c r="AZ64" s="54"/>
      <c r="BA64" s="54"/>
      <c r="BB64" s="54"/>
      <c r="BC64" s="54"/>
      <c r="BD64" s="54">
        <v>2984</v>
      </c>
      <c r="BE64" s="54">
        <v>2984</v>
      </c>
      <c r="BF64" s="54">
        <v>2984</v>
      </c>
      <c r="BG64" s="54">
        <v>2984</v>
      </c>
      <c r="BH64" s="54">
        <v>2984</v>
      </c>
      <c r="BI64" s="54"/>
      <c r="BJ64" s="54"/>
      <c r="BK64" s="54"/>
      <c r="BL64" s="54"/>
      <c r="BM64" s="54"/>
      <c r="BN64" s="54"/>
      <c r="BO64" s="54"/>
      <c r="BP64" s="54"/>
      <c r="BQ64" s="54"/>
      <c r="BR64" s="54"/>
      <c r="BS64" s="54"/>
      <c r="BU64" s="54"/>
      <c r="BV64" s="54"/>
      <c r="BW64" s="54"/>
      <c r="BX64" s="54"/>
    </row>
    <row r="65" spans="1:76" x14ac:dyDescent="0.3">
      <c r="B65" s="23" t="s">
        <v>296</v>
      </c>
      <c r="C65" s="54"/>
      <c r="D65" s="54"/>
      <c r="E65" s="54"/>
      <c r="F65" s="54"/>
      <c r="G65" s="54"/>
      <c r="H65" s="54"/>
      <c r="I65" s="54"/>
      <c r="J65" s="54"/>
      <c r="K65" s="54"/>
      <c r="L65" s="54"/>
      <c r="M65" s="54"/>
      <c r="N65" s="54"/>
      <c r="O65" s="54"/>
      <c r="P65" s="54"/>
      <c r="Q65" s="54"/>
      <c r="R65" s="54"/>
      <c r="S65" s="54"/>
      <c r="T65" s="55"/>
      <c r="U65" s="54"/>
      <c r="V65" s="54"/>
      <c r="W65" s="54"/>
      <c r="X65" s="54"/>
      <c r="Y65" s="54"/>
      <c r="Z65" s="54"/>
      <c r="AA65" s="54"/>
      <c r="AB65" s="54"/>
      <c r="AC65" s="54"/>
      <c r="AD65" s="54"/>
      <c r="AE65" s="54"/>
      <c r="AF65" s="54">
        <v>4895099</v>
      </c>
      <c r="AG65" s="54"/>
      <c r="AH65" s="54"/>
      <c r="AI65" s="54"/>
      <c r="AJ65" s="54"/>
      <c r="AK65" s="54">
        <v>4895099</v>
      </c>
      <c r="AL65" s="54"/>
      <c r="AM65" s="54"/>
      <c r="AN65" s="54"/>
      <c r="AO65" s="54"/>
      <c r="AP65" s="54">
        <v>2894230</v>
      </c>
      <c r="AQ65" s="54"/>
      <c r="AR65" s="54"/>
      <c r="AS65" s="54"/>
      <c r="AT65" s="54"/>
      <c r="AU65" s="54">
        <v>2894230</v>
      </c>
      <c r="AV65" s="54"/>
      <c r="AW65" s="54">
        <v>2894230</v>
      </c>
      <c r="AX65" s="54">
        <v>1982801</v>
      </c>
      <c r="AY65" s="54">
        <v>1593366</v>
      </c>
      <c r="AZ65" s="54">
        <v>1593366</v>
      </c>
      <c r="BA65" s="54">
        <f>'[7]BG Mar21'!$E$54</f>
        <v>309921</v>
      </c>
      <c r="BB65" s="54">
        <v>-136966</v>
      </c>
      <c r="BC65" s="54">
        <v>2591767</v>
      </c>
      <c r="BD65" s="54">
        <v>2396830</v>
      </c>
      <c r="BE65" s="54">
        <v>2396830</v>
      </c>
      <c r="BF65" s="54">
        <v>2091390</v>
      </c>
      <c r="BG65" s="54">
        <v>1693785</v>
      </c>
      <c r="BH65" s="54">
        <v>1268277</v>
      </c>
      <c r="BI65" s="54">
        <v>1407837</v>
      </c>
      <c r="BJ65" s="54">
        <v>1407837</v>
      </c>
      <c r="BK65" s="54">
        <v>1544336</v>
      </c>
      <c r="BL65" s="54">
        <v>1529645</v>
      </c>
      <c r="BM65" s="54">
        <v>1784280</v>
      </c>
      <c r="BN65" s="54">
        <v>1866914</v>
      </c>
      <c r="BO65" s="54">
        <v>1866914</v>
      </c>
      <c r="BP65" s="54">
        <v>1690016</v>
      </c>
      <c r="BQ65" s="54">
        <v>1376007</v>
      </c>
      <c r="BR65" s="54">
        <v>1402940</v>
      </c>
      <c r="BS65" s="54">
        <v>1268278</v>
      </c>
      <c r="BT65" s="54">
        <v>1268278</v>
      </c>
      <c r="BU65" s="54">
        <v>1245127</v>
      </c>
      <c r="BV65" s="54">
        <v>1349704</v>
      </c>
      <c r="BW65" s="54">
        <v>1405421</v>
      </c>
      <c r="BX65" s="54">
        <v>1405420</v>
      </c>
    </row>
    <row r="66" spans="1:76" x14ac:dyDescent="0.3">
      <c r="B66" s="51" t="s">
        <v>432</v>
      </c>
      <c r="C66" s="56">
        <f t="shared" ref="C66:AV66" si="36">SUM(C60:C62)</f>
        <v>7282027.1790000005</v>
      </c>
      <c r="D66" s="56">
        <f t="shared" si="36"/>
        <v>8103643.8289999999</v>
      </c>
      <c r="E66" s="56">
        <f t="shared" si="36"/>
        <v>8136801.2940000007</v>
      </c>
      <c r="F66" s="56">
        <f>SUM(F60:F62)</f>
        <v>8105873.1680000005</v>
      </c>
      <c r="G66" s="56">
        <f>SUM(G60:G65)</f>
        <v>8105873.1680000005</v>
      </c>
      <c r="H66" s="56">
        <f t="shared" si="36"/>
        <v>18033952.638999999</v>
      </c>
      <c r="I66" s="56">
        <f t="shared" si="36"/>
        <v>20643548.030999999</v>
      </c>
      <c r="J66" s="56">
        <f t="shared" si="36"/>
        <v>24176146.722999997</v>
      </c>
      <c r="K66" s="56">
        <f t="shared" si="36"/>
        <v>24024712</v>
      </c>
      <c r="L66" s="56">
        <f>SUM(L60:L65)</f>
        <v>24024712</v>
      </c>
      <c r="M66" s="56">
        <f t="shared" si="36"/>
        <v>45494756</v>
      </c>
      <c r="N66" s="56">
        <f t="shared" si="36"/>
        <v>51748127</v>
      </c>
      <c r="O66" s="56">
        <f t="shared" si="36"/>
        <v>51886738</v>
      </c>
      <c r="P66" s="56">
        <f t="shared" si="36"/>
        <v>58214213</v>
      </c>
      <c r="Q66" s="56">
        <f>SUM(Q60:Q65)</f>
        <v>58214213</v>
      </c>
      <c r="R66" s="56">
        <f t="shared" si="36"/>
        <v>62312697</v>
      </c>
      <c r="S66" s="56">
        <f t="shared" si="36"/>
        <v>100366719</v>
      </c>
      <c r="T66" s="56">
        <f t="shared" si="36"/>
        <v>100068928</v>
      </c>
      <c r="U66" s="56">
        <f t="shared" si="36"/>
        <v>105075471</v>
      </c>
      <c r="V66" s="56">
        <f>SUM(V60:V65)</f>
        <v>105075471</v>
      </c>
      <c r="W66" s="56">
        <f t="shared" si="36"/>
        <v>105060902</v>
      </c>
      <c r="X66" s="56">
        <f t="shared" si="36"/>
        <v>106559436</v>
      </c>
      <c r="Y66" s="56">
        <f t="shared" si="36"/>
        <v>106820059</v>
      </c>
      <c r="Z66" s="56">
        <f t="shared" si="36"/>
        <v>113358378</v>
      </c>
      <c r="AA66" s="56">
        <f>SUM(AA60:AA65)</f>
        <v>113358378</v>
      </c>
      <c r="AB66" s="56">
        <f t="shared" si="36"/>
        <v>114591423</v>
      </c>
      <c r="AC66" s="56">
        <f t="shared" si="36"/>
        <v>115964012</v>
      </c>
      <c r="AD66" s="56">
        <f t="shared" si="36"/>
        <v>116850806</v>
      </c>
      <c r="AE66" s="56">
        <f t="shared" si="36"/>
        <v>120805238</v>
      </c>
      <c r="AF66" s="56">
        <f>SUM(AF60:AF65)</f>
        <v>120805238</v>
      </c>
      <c r="AG66" s="56">
        <f t="shared" si="36"/>
        <v>125500121</v>
      </c>
      <c r="AH66" s="56">
        <f t="shared" si="36"/>
        <v>127167937</v>
      </c>
      <c r="AI66" s="56">
        <f t="shared" si="36"/>
        <v>128117600</v>
      </c>
      <c r="AJ66" s="56">
        <f t="shared" si="36"/>
        <v>146059455</v>
      </c>
      <c r="AK66" s="56">
        <f>SUM(AK60:AK65)</f>
        <v>146059455</v>
      </c>
      <c r="AL66" s="56">
        <f t="shared" si="36"/>
        <v>149204876</v>
      </c>
      <c r="AM66" s="56">
        <f t="shared" si="36"/>
        <v>146863965</v>
      </c>
      <c r="AN66" s="56">
        <v>149633887</v>
      </c>
      <c r="AO66" s="56">
        <f t="shared" si="36"/>
        <v>153991164</v>
      </c>
      <c r="AP66" s="56">
        <f>SUM(AP60:AP65)</f>
        <v>153991164</v>
      </c>
      <c r="AQ66" s="56">
        <f t="shared" si="36"/>
        <v>155893302</v>
      </c>
      <c r="AR66" s="56">
        <f t="shared" si="36"/>
        <v>159100371</v>
      </c>
      <c r="AS66" s="56">
        <f t="shared" si="36"/>
        <v>158563884</v>
      </c>
      <c r="AT66" s="56">
        <f t="shared" si="36"/>
        <v>163444377</v>
      </c>
      <c r="AU66" s="56">
        <f>SUM(AU60:AU65)</f>
        <v>162892830</v>
      </c>
      <c r="AV66" s="56">
        <f t="shared" si="36"/>
        <v>145239432</v>
      </c>
      <c r="AW66" s="56">
        <v>156851163</v>
      </c>
      <c r="AX66" s="56">
        <f t="shared" ref="AX66:BD66" si="37">SUM(AX60:AX65)</f>
        <v>159605780</v>
      </c>
      <c r="AY66" s="56">
        <f t="shared" si="37"/>
        <v>168533092</v>
      </c>
      <c r="AZ66" s="56">
        <f>SUM(AZ60:AZ65)</f>
        <v>168533092</v>
      </c>
      <c r="BA66" s="56">
        <f t="shared" si="37"/>
        <v>166084098</v>
      </c>
      <c r="BB66" s="56">
        <f t="shared" si="37"/>
        <v>166243841</v>
      </c>
      <c r="BC66" s="56">
        <f t="shared" si="37"/>
        <v>163696076</v>
      </c>
      <c r="BD66" s="56">
        <f t="shared" si="37"/>
        <v>165630259</v>
      </c>
      <c r="BE66" s="56">
        <f>SUM(BE60:BE65)</f>
        <v>165630259</v>
      </c>
      <c r="BF66" s="56">
        <f t="shared" ref="BF66:BI66" si="38">SUM(BF60:BF65)</f>
        <v>166671612</v>
      </c>
      <c r="BG66" s="56">
        <f t="shared" si="38"/>
        <v>167408815</v>
      </c>
      <c r="BH66" s="56">
        <f t="shared" si="38"/>
        <v>169167953</v>
      </c>
      <c r="BI66" s="56">
        <f t="shared" si="38"/>
        <v>179927914</v>
      </c>
      <c r="BJ66" s="56">
        <f>SUM(BJ60:BJ65)</f>
        <v>179927914</v>
      </c>
      <c r="BK66" s="56">
        <f>SUM(BK60:BK65)</f>
        <v>182625542</v>
      </c>
      <c r="BL66" s="56">
        <f>SUM(BL60:BL65)</f>
        <v>186988378</v>
      </c>
      <c r="BM66" s="56">
        <f>SUM(BM60:BM65)</f>
        <v>183792794</v>
      </c>
      <c r="BN66" s="56">
        <f>SUM(BN60:BN65)</f>
        <v>188037417</v>
      </c>
      <c r="BO66" s="56">
        <f t="shared" ref="BO66:BS66" si="39">SUM(BO60:BO65)</f>
        <v>188037417</v>
      </c>
      <c r="BP66" s="56">
        <f t="shared" si="39"/>
        <v>187980235</v>
      </c>
      <c r="BQ66" s="56">
        <f t="shared" si="39"/>
        <v>189840780</v>
      </c>
      <c r="BR66" s="56">
        <f t="shared" si="39"/>
        <v>185645053</v>
      </c>
      <c r="BS66" s="56">
        <f t="shared" si="39"/>
        <v>186345210</v>
      </c>
      <c r="BT66" s="56">
        <f>SUM(BT60:BT65)</f>
        <v>186345210</v>
      </c>
      <c r="BU66" s="56">
        <f t="shared" ref="BU66:BX66" si="40">SUM(BU60:BU65)</f>
        <v>185763772</v>
      </c>
      <c r="BV66" s="56">
        <f t="shared" si="40"/>
        <v>190115719</v>
      </c>
      <c r="BW66" s="56">
        <f t="shared" si="40"/>
        <v>192210279</v>
      </c>
      <c r="BX66" s="56">
        <f t="shared" si="40"/>
        <v>202422977</v>
      </c>
    </row>
    <row r="67" spans="1:76" x14ac:dyDescent="0.3">
      <c r="B67" s="23" t="s">
        <v>82</v>
      </c>
      <c r="C67" s="54"/>
      <c r="D67" s="54"/>
      <c r="E67" s="54"/>
      <c r="F67" s="54"/>
      <c r="G67" s="54"/>
      <c r="H67" s="54"/>
      <c r="I67" s="54"/>
      <c r="J67" s="54"/>
      <c r="K67" s="54"/>
      <c r="L67" s="54"/>
      <c r="M67" s="54"/>
      <c r="N67" s="54"/>
      <c r="O67" s="54"/>
      <c r="P67" s="54"/>
      <c r="Q67" s="54"/>
      <c r="R67" s="54"/>
      <c r="S67" s="54"/>
      <c r="T67" s="55"/>
      <c r="U67" s="54"/>
      <c r="V67" s="54"/>
      <c r="W67" s="54"/>
      <c r="X67" s="54"/>
      <c r="Y67" s="54"/>
      <c r="Z67" s="54"/>
      <c r="AA67" s="54"/>
      <c r="AB67" s="54">
        <v>210976</v>
      </c>
      <c r="AC67" s="54">
        <v>816441</v>
      </c>
      <c r="AD67" s="54">
        <v>704671</v>
      </c>
      <c r="AE67" s="54">
        <v>1838097</v>
      </c>
      <c r="AF67" s="54">
        <v>1838097</v>
      </c>
      <c r="AG67" s="54">
        <v>2124504</v>
      </c>
      <c r="AH67" s="54">
        <v>2434388</v>
      </c>
      <c r="AI67" s="54">
        <v>2844487</v>
      </c>
      <c r="AJ67" s="54">
        <v>3817079</v>
      </c>
      <c r="AK67" s="54">
        <v>3817079</v>
      </c>
      <c r="AL67" s="54">
        <v>3870595</v>
      </c>
      <c r="AM67" s="54">
        <v>3923918</v>
      </c>
      <c r="AN67" s="54">
        <v>4096386</v>
      </c>
      <c r="AO67" s="54">
        <v>4114151</v>
      </c>
      <c r="AP67" s="54">
        <v>4114151</v>
      </c>
      <c r="AQ67" s="54">
        <v>4285056</v>
      </c>
      <c r="AR67" s="54">
        <v>4314051</v>
      </c>
      <c r="AS67" s="54">
        <v>4008209</v>
      </c>
      <c r="AT67" s="54">
        <v>4012038</v>
      </c>
      <c r="AU67" s="54">
        <v>4012038</v>
      </c>
      <c r="AV67" s="54">
        <v>4135296</v>
      </c>
      <c r="AW67" s="54">
        <v>4106449</v>
      </c>
      <c r="AX67" s="54">
        <v>4173757</v>
      </c>
      <c r="AY67" s="54">
        <v>4862480</v>
      </c>
      <c r="AZ67" s="54">
        <v>4862480</v>
      </c>
      <c r="BA67" s="54">
        <v>4988507</v>
      </c>
      <c r="BB67" s="54">
        <v>4992605</v>
      </c>
      <c r="BC67" s="54">
        <v>5072056</v>
      </c>
      <c r="BD67" s="54">
        <v>5309512</v>
      </c>
      <c r="BE67" s="54">
        <v>5309512</v>
      </c>
      <c r="BF67" s="54">
        <v>5694938</v>
      </c>
      <c r="BG67" s="54">
        <v>5772022</v>
      </c>
      <c r="BH67" s="54">
        <v>5970816</v>
      </c>
      <c r="BI67" s="54">
        <v>6223094</v>
      </c>
      <c r="BJ67" s="54">
        <v>6223094</v>
      </c>
      <c r="BK67" s="54">
        <v>6404078</v>
      </c>
      <c r="BL67" s="54">
        <v>6504138</v>
      </c>
      <c r="BM67" s="54">
        <v>6620953</v>
      </c>
      <c r="BN67" s="54">
        <v>6725202</v>
      </c>
      <c r="BO67" s="54">
        <v>6725202</v>
      </c>
      <c r="BP67" s="54">
        <v>6831376</v>
      </c>
      <c r="BQ67" s="54">
        <v>6926809</v>
      </c>
      <c r="BR67" s="54">
        <v>7031645</v>
      </c>
      <c r="BS67" s="54">
        <v>1433827</v>
      </c>
      <c r="BT67" s="54">
        <v>1433827</v>
      </c>
      <c r="BU67" s="54">
        <v>1438892</v>
      </c>
      <c r="BV67" s="54">
        <v>1448465</v>
      </c>
      <c r="BW67" s="54">
        <v>1449477</v>
      </c>
      <c r="BX67" s="54">
        <v>47084902</v>
      </c>
    </row>
    <row r="68" spans="1:76" s="51" customFormat="1" x14ac:dyDescent="0.3">
      <c r="A68" s="23"/>
      <c r="B68" s="51" t="s">
        <v>433</v>
      </c>
      <c r="C68" s="56">
        <f t="shared" ref="C68:Z68" si="41">SUM(C60:C62)</f>
        <v>7282027.1790000005</v>
      </c>
      <c r="D68" s="56">
        <f t="shared" si="41"/>
        <v>8103643.8289999999</v>
      </c>
      <c r="E68" s="56">
        <f t="shared" si="41"/>
        <v>8136801.2940000007</v>
      </c>
      <c r="F68" s="56">
        <f>SUM(F60:F62)</f>
        <v>8105873.1680000005</v>
      </c>
      <c r="G68" s="56">
        <f>G66+G67</f>
        <v>8105873.1680000005</v>
      </c>
      <c r="H68" s="56">
        <f t="shared" si="41"/>
        <v>18033952.638999999</v>
      </c>
      <c r="I68" s="56">
        <f t="shared" si="41"/>
        <v>20643548.030999999</v>
      </c>
      <c r="J68" s="56">
        <f t="shared" si="41"/>
        <v>24176146.722999997</v>
      </c>
      <c r="K68" s="56">
        <f t="shared" si="41"/>
        <v>24024712</v>
      </c>
      <c r="L68" s="56">
        <f>L66+L67</f>
        <v>24024712</v>
      </c>
      <c r="M68" s="56">
        <f t="shared" si="41"/>
        <v>45494756</v>
      </c>
      <c r="N68" s="56">
        <f t="shared" si="41"/>
        <v>51748127</v>
      </c>
      <c r="O68" s="56">
        <f t="shared" si="41"/>
        <v>51886738</v>
      </c>
      <c r="P68" s="56">
        <f t="shared" si="41"/>
        <v>58214213</v>
      </c>
      <c r="Q68" s="56">
        <f>Q66+Q67</f>
        <v>58214213</v>
      </c>
      <c r="R68" s="56">
        <f t="shared" si="41"/>
        <v>62312697</v>
      </c>
      <c r="S68" s="56">
        <f t="shared" si="41"/>
        <v>100366719</v>
      </c>
      <c r="T68" s="56">
        <f t="shared" si="41"/>
        <v>100068928</v>
      </c>
      <c r="U68" s="56">
        <f t="shared" si="41"/>
        <v>105075471</v>
      </c>
      <c r="V68" s="56">
        <f>V66+V67</f>
        <v>105075471</v>
      </c>
      <c r="W68" s="56">
        <f t="shared" si="41"/>
        <v>105060902</v>
      </c>
      <c r="X68" s="56">
        <f t="shared" si="41"/>
        <v>106559436</v>
      </c>
      <c r="Y68" s="56">
        <f t="shared" si="41"/>
        <v>106820059</v>
      </c>
      <c r="Z68" s="56">
        <f t="shared" si="41"/>
        <v>113358378</v>
      </c>
      <c r="AA68" s="56">
        <f>AA66+AA67</f>
        <v>113358378</v>
      </c>
      <c r="AB68" s="56">
        <f t="shared" ref="AB68:AV68" si="42">AB66+AB67</f>
        <v>114802399</v>
      </c>
      <c r="AC68" s="56">
        <f t="shared" si="42"/>
        <v>116780453</v>
      </c>
      <c r="AD68" s="56">
        <f t="shared" si="42"/>
        <v>117555477</v>
      </c>
      <c r="AE68" s="56">
        <f t="shared" si="42"/>
        <v>122643335</v>
      </c>
      <c r="AF68" s="56">
        <f>AF66+AF67</f>
        <v>122643335</v>
      </c>
      <c r="AG68" s="56">
        <f t="shared" si="42"/>
        <v>127624625</v>
      </c>
      <c r="AH68" s="56">
        <f t="shared" si="42"/>
        <v>129602325</v>
      </c>
      <c r="AI68" s="56">
        <f t="shared" si="42"/>
        <v>130962087</v>
      </c>
      <c r="AJ68" s="56">
        <f t="shared" si="42"/>
        <v>149876534</v>
      </c>
      <c r="AK68" s="56">
        <f>AK66+AK67</f>
        <v>149876534</v>
      </c>
      <c r="AL68" s="56">
        <f t="shared" si="42"/>
        <v>153075471</v>
      </c>
      <c r="AM68" s="56">
        <f t="shared" si="42"/>
        <v>150787883</v>
      </c>
      <c r="AN68" s="56">
        <v>153730273</v>
      </c>
      <c r="AO68" s="56">
        <f t="shared" si="42"/>
        <v>158105315</v>
      </c>
      <c r="AP68" s="56">
        <f>AP66+AP67</f>
        <v>158105315</v>
      </c>
      <c r="AQ68" s="56">
        <f t="shared" si="42"/>
        <v>160178358</v>
      </c>
      <c r="AR68" s="56">
        <f t="shared" si="42"/>
        <v>163414422</v>
      </c>
      <c r="AS68" s="56">
        <f t="shared" si="42"/>
        <v>162572093</v>
      </c>
      <c r="AT68" s="56">
        <f t="shared" si="42"/>
        <v>167456415</v>
      </c>
      <c r="AU68" s="56">
        <f>AU66+AU67</f>
        <v>166904868</v>
      </c>
      <c r="AV68" s="56">
        <f t="shared" si="42"/>
        <v>149374728</v>
      </c>
      <c r="AW68" s="56">
        <v>160957612</v>
      </c>
      <c r="AX68" s="56">
        <f>SUM(AX66:AX67)</f>
        <v>163779537</v>
      </c>
      <c r="AY68" s="56">
        <f>SUM(AY66:AY67)</f>
        <v>173395572</v>
      </c>
      <c r="AZ68" s="56">
        <f>AZ66+AZ67</f>
        <v>173395572</v>
      </c>
      <c r="BA68" s="56">
        <f t="shared" ref="BA68" si="43">BA66+BA67</f>
        <v>171072605</v>
      </c>
      <c r="BB68" s="56">
        <f>BB66+BB67</f>
        <v>171236446</v>
      </c>
      <c r="BC68" s="56">
        <f>BC66+BC67</f>
        <v>168768132</v>
      </c>
      <c r="BD68" s="56">
        <f>BD66+BD67</f>
        <v>170939771</v>
      </c>
      <c r="BE68" s="56">
        <f>BE66+BE67</f>
        <v>170939771</v>
      </c>
      <c r="BF68" s="56">
        <f t="shared" ref="BF68:BH68" si="44">BF66+BF67</f>
        <v>172366550</v>
      </c>
      <c r="BG68" s="56">
        <f t="shared" si="44"/>
        <v>173180837</v>
      </c>
      <c r="BH68" s="56">
        <f t="shared" si="44"/>
        <v>175138769</v>
      </c>
      <c r="BI68" s="56">
        <f t="shared" ref="BI68:BS68" si="45">BI66+BI67</f>
        <v>186151008</v>
      </c>
      <c r="BJ68" s="56">
        <f t="shared" si="45"/>
        <v>186151008</v>
      </c>
      <c r="BK68" s="56">
        <f t="shared" si="45"/>
        <v>189029620</v>
      </c>
      <c r="BL68" s="56">
        <f t="shared" si="45"/>
        <v>193492516</v>
      </c>
      <c r="BM68" s="56">
        <f t="shared" si="45"/>
        <v>190413747</v>
      </c>
      <c r="BN68" s="56">
        <f t="shared" si="45"/>
        <v>194762619</v>
      </c>
      <c r="BO68" s="56">
        <f t="shared" si="45"/>
        <v>194762619</v>
      </c>
      <c r="BP68" s="56">
        <f t="shared" si="45"/>
        <v>194811611</v>
      </c>
      <c r="BQ68" s="56">
        <f t="shared" si="45"/>
        <v>196767589</v>
      </c>
      <c r="BR68" s="56">
        <f t="shared" si="45"/>
        <v>192676698</v>
      </c>
      <c r="BS68" s="56">
        <f t="shared" si="45"/>
        <v>187779037</v>
      </c>
      <c r="BT68" s="56">
        <f t="shared" ref="BT68:BX68" si="46">BT66+BT67</f>
        <v>187779037</v>
      </c>
      <c r="BU68" s="56">
        <f t="shared" si="46"/>
        <v>187202664</v>
      </c>
      <c r="BV68" s="56">
        <f t="shared" si="46"/>
        <v>191564184</v>
      </c>
      <c r="BW68" s="56">
        <f t="shared" si="46"/>
        <v>193659756</v>
      </c>
      <c r="BX68" s="56">
        <f t="shared" si="46"/>
        <v>249507879</v>
      </c>
    </row>
    <row r="69" spans="1:76" ht="12.5" thickBot="1" x14ac:dyDescent="0.35">
      <c r="C69" s="54"/>
      <c r="D69" s="54"/>
      <c r="E69" s="54"/>
      <c r="F69" s="54"/>
      <c r="G69" s="54"/>
      <c r="H69" s="54"/>
      <c r="I69" s="54"/>
      <c r="J69" s="54"/>
      <c r="K69" s="54"/>
      <c r="L69" s="54"/>
      <c r="M69" s="54"/>
      <c r="N69" s="54"/>
      <c r="O69" s="54"/>
      <c r="P69" s="54"/>
      <c r="Q69" s="54"/>
      <c r="R69" s="54"/>
      <c r="S69" s="54"/>
      <c r="T69" s="54"/>
      <c r="U69" s="54"/>
      <c r="V69" s="54"/>
      <c r="W69" s="54"/>
      <c r="X69" s="54"/>
      <c r="Y69" s="54"/>
      <c r="Z69" s="54"/>
      <c r="AA69" s="54"/>
      <c r="AB69" s="54"/>
      <c r="AC69" s="54"/>
      <c r="AD69" s="54"/>
      <c r="AE69" s="54"/>
      <c r="AF69" s="54"/>
      <c r="AG69" s="54"/>
      <c r="AH69" s="54"/>
      <c r="AI69" s="54"/>
      <c r="AJ69" s="54"/>
      <c r="AK69" s="54"/>
      <c r="AL69" s="54"/>
      <c r="AM69" s="54"/>
      <c r="AN69" s="54"/>
      <c r="AO69" s="54"/>
      <c r="AP69" s="54"/>
      <c r="AQ69" s="54"/>
      <c r="AR69" s="54"/>
      <c r="AS69" s="54"/>
      <c r="AT69" s="54"/>
      <c r="AU69" s="54"/>
      <c r="AV69" s="54"/>
      <c r="AW69" s="54"/>
      <c r="AX69" s="54"/>
      <c r="AY69" s="54"/>
      <c r="AZ69" s="54"/>
      <c r="BA69" s="54"/>
      <c r="BB69" s="54"/>
      <c r="BC69" s="54"/>
      <c r="BD69" s="54"/>
      <c r="BE69" s="54"/>
      <c r="BF69" s="54"/>
      <c r="BG69" s="54"/>
      <c r="BH69" s="54"/>
      <c r="BI69" s="54"/>
      <c r="BJ69" s="54"/>
      <c r="BK69" s="54"/>
      <c r="BL69" s="54"/>
      <c r="BM69" s="54"/>
      <c r="BN69" s="54"/>
      <c r="BO69" s="54"/>
      <c r="BP69" s="54"/>
      <c r="BQ69" s="54"/>
      <c r="BR69" s="54"/>
      <c r="BS69" s="54"/>
      <c r="BT69" s="54"/>
      <c r="BU69" s="54"/>
      <c r="BV69" s="54"/>
      <c r="BW69" s="54"/>
      <c r="BX69" s="54"/>
    </row>
    <row r="70" spans="1:76" s="51" customFormat="1" ht="12.5" thickTop="1" x14ac:dyDescent="0.3">
      <c r="A70" s="23"/>
      <c r="B70" s="51" t="s">
        <v>434</v>
      </c>
      <c r="C70" s="57">
        <f t="shared" ref="C70:AV70" si="47">C68+C57</f>
        <v>7302698.4890000001</v>
      </c>
      <c r="D70" s="57">
        <f t="shared" si="47"/>
        <v>9759162.629999999</v>
      </c>
      <c r="E70" s="57">
        <f t="shared" si="47"/>
        <v>9776868.4790000003</v>
      </c>
      <c r="F70" s="57">
        <f>F68+F57</f>
        <v>9219061.6000000015</v>
      </c>
      <c r="G70" s="57">
        <f>G68+G57</f>
        <v>9219061.6000000015</v>
      </c>
      <c r="H70" s="57">
        <f t="shared" si="47"/>
        <v>19172092.908799998</v>
      </c>
      <c r="I70" s="57">
        <f t="shared" si="47"/>
        <v>21684797.202</v>
      </c>
      <c r="J70" s="57">
        <f t="shared" si="47"/>
        <v>33861922.530999996</v>
      </c>
      <c r="K70" s="57">
        <f t="shared" si="47"/>
        <v>33796898</v>
      </c>
      <c r="L70" s="57">
        <f>L68+L57</f>
        <v>33796898</v>
      </c>
      <c r="M70" s="57">
        <f t="shared" si="47"/>
        <v>73323038</v>
      </c>
      <c r="N70" s="57">
        <f t="shared" si="47"/>
        <v>71775255</v>
      </c>
      <c r="O70" s="57">
        <f t="shared" si="47"/>
        <v>67327144</v>
      </c>
      <c r="P70" s="57">
        <f t="shared" si="47"/>
        <v>101329995</v>
      </c>
      <c r="Q70" s="57">
        <f>Q68+Q57</f>
        <v>101329995</v>
      </c>
      <c r="R70" s="57">
        <f t="shared" si="47"/>
        <v>103143526</v>
      </c>
      <c r="S70" s="57">
        <f t="shared" si="47"/>
        <v>140513258</v>
      </c>
      <c r="T70" s="57">
        <f t="shared" si="47"/>
        <v>138816588</v>
      </c>
      <c r="U70" s="57">
        <f t="shared" si="47"/>
        <v>143615134</v>
      </c>
      <c r="V70" s="57">
        <f>V68+V57</f>
        <v>143615134</v>
      </c>
      <c r="W70" s="57">
        <f t="shared" si="47"/>
        <v>155364777</v>
      </c>
      <c r="X70" s="57">
        <f t="shared" si="47"/>
        <v>157112890</v>
      </c>
      <c r="Y70" s="57">
        <f t="shared" si="47"/>
        <v>157423594</v>
      </c>
      <c r="Z70" s="57">
        <f t="shared" si="47"/>
        <v>170773341</v>
      </c>
      <c r="AA70" s="57">
        <f>AA68+AA57</f>
        <v>171301153</v>
      </c>
      <c r="AB70" s="57">
        <f t="shared" si="47"/>
        <v>172977889</v>
      </c>
      <c r="AC70" s="57">
        <f t="shared" si="47"/>
        <v>183889832</v>
      </c>
      <c r="AD70" s="57">
        <f t="shared" si="47"/>
        <v>184834408</v>
      </c>
      <c r="AE70" s="57">
        <f t="shared" si="47"/>
        <v>192026977</v>
      </c>
      <c r="AF70" s="57">
        <f>AF68+AF57</f>
        <v>192026977</v>
      </c>
      <c r="AG70" s="57">
        <f t="shared" si="47"/>
        <v>194521959</v>
      </c>
      <c r="AH70" s="57">
        <f t="shared" si="47"/>
        <v>198879669</v>
      </c>
      <c r="AI70" s="57">
        <f t="shared" si="47"/>
        <v>200893767</v>
      </c>
      <c r="AJ70" s="57">
        <f t="shared" si="47"/>
        <v>223317510</v>
      </c>
      <c r="AK70" s="57">
        <f>AK68+AK57</f>
        <v>223317510</v>
      </c>
      <c r="AL70" s="57">
        <f t="shared" si="47"/>
        <v>224199262</v>
      </c>
      <c r="AM70" s="57">
        <f t="shared" si="47"/>
        <v>228276133</v>
      </c>
      <c r="AN70" s="57">
        <v>233658164</v>
      </c>
      <c r="AO70" s="57">
        <f t="shared" si="47"/>
        <v>242795015</v>
      </c>
      <c r="AP70" s="57">
        <f>AP68+AP57</f>
        <v>242795015</v>
      </c>
      <c r="AQ70" s="57">
        <f t="shared" si="47"/>
        <v>248200458</v>
      </c>
      <c r="AR70" s="57">
        <f t="shared" si="47"/>
        <v>268599891</v>
      </c>
      <c r="AS70" s="57">
        <f t="shared" si="47"/>
        <v>267592517</v>
      </c>
      <c r="AT70" s="57">
        <f t="shared" si="47"/>
        <v>282781979</v>
      </c>
      <c r="AU70" s="57">
        <f>AU68+AU57</f>
        <v>282114142</v>
      </c>
      <c r="AV70" s="57">
        <f t="shared" si="47"/>
        <v>288592992</v>
      </c>
      <c r="AW70" s="57">
        <v>309279387</v>
      </c>
      <c r="AX70" s="57">
        <f>AX68+AX57</f>
        <v>316786217</v>
      </c>
      <c r="AY70" s="57">
        <f>AY57+AY68</f>
        <v>307067985</v>
      </c>
      <c r="AZ70" s="57">
        <f>AZ68+AZ57</f>
        <v>308054256</v>
      </c>
      <c r="BA70" s="57">
        <f t="shared" ref="BA70" si="48">BA68+BA57</f>
        <v>311614671</v>
      </c>
      <c r="BB70" s="57">
        <f>BB68+BB57</f>
        <v>308632067</v>
      </c>
      <c r="BC70" s="57">
        <f>BC68+BC57</f>
        <v>309242276</v>
      </c>
      <c r="BD70" s="57">
        <f>BD68+BD57</f>
        <v>316621511</v>
      </c>
      <c r="BE70" s="57">
        <f>BE68+BE57</f>
        <v>316621511</v>
      </c>
      <c r="BF70" s="57">
        <f t="shared" ref="BF70:BH70" si="49">BF68+BF57</f>
        <v>316901675</v>
      </c>
      <c r="BG70" s="57">
        <f t="shared" si="49"/>
        <v>322520154.13405931</v>
      </c>
      <c r="BH70" s="57">
        <f t="shared" si="49"/>
        <v>327509707</v>
      </c>
      <c r="BI70" s="57">
        <f t="shared" ref="BI70:BS70" si="50">BI68+BI57</f>
        <v>338312001</v>
      </c>
      <c r="BJ70" s="57">
        <f t="shared" si="50"/>
        <v>338312001</v>
      </c>
      <c r="BK70" s="57">
        <f t="shared" si="50"/>
        <v>336637671</v>
      </c>
      <c r="BL70" s="57">
        <f t="shared" si="50"/>
        <v>336573658</v>
      </c>
      <c r="BM70" s="57">
        <f t="shared" si="50"/>
        <v>336390116</v>
      </c>
      <c r="BN70" s="57">
        <f t="shared" si="50"/>
        <v>338633765</v>
      </c>
      <c r="BO70" s="57">
        <f t="shared" si="50"/>
        <v>338633765</v>
      </c>
      <c r="BP70" s="57">
        <f t="shared" si="50"/>
        <v>339662690</v>
      </c>
      <c r="BQ70" s="57">
        <f t="shared" si="50"/>
        <v>349703565</v>
      </c>
      <c r="BR70" s="57">
        <f t="shared" si="50"/>
        <v>350750846</v>
      </c>
      <c r="BS70" s="57">
        <f t="shared" si="50"/>
        <v>354843737</v>
      </c>
      <c r="BT70" s="57">
        <f>BT68+BT57</f>
        <v>354843738</v>
      </c>
      <c r="BU70" s="57">
        <f t="shared" ref="BU70:BX70" si="51">BU68+BU57</f>
        <v>353097846</v>
      </c>
      <c r="BV70" s="57">
        <f t="shared" si="51"/>
        <v>356335907</v>
      </c>
      <c r="BW70" s="57">
        <f t="shared" si="51"/>
        <v>356390388</v>
      </c>
      <c r="BX70" s="57">
        <f t="shared" si="51"/>
        <v>414841337</v>
      </c>
    </row>
    <row r="71" spans="1:76" x14ac:dyDescent="0.3">
      <c r="C71" s="47"/>
      <c r="D71" s="47"/>
      <c r="E71" s="47"/>
      <c r="F71" s="59"/>
      <c r="G71" s="59"/>
      <c r="H71" s="47"/>
      <c r="I71" s="47"/>
      <c r="J71" s="47"/>
      <c r="M71" s="47"/>
      <c r="N71" s="47"/>
      <c r="O71" s="47"/>
      <c r="R71" s="47"/>
      <c r="S71" s="47"/>
      <c r="T71" s="47"/>
      <c r="Y71" s="45"/>
      <c r="Z71" s="45"/>
      <c r="AA71" s="45"/>
      <c r="AB71" s="45"/>
      <c r="AC71" s="45"/>
      <c r="AD71" s="45"/>
      <c r="AE71" s="45"/>
      <c r="AF71" s="45"/>
      <c r="AG71" s="45"/>
      <c r="AH71" s="45"/>
      <c r="AI71" s="45"/>
      <c r="AJ71" s="45"/>
      <c r="AK71" s="45"/>
      <c r="AL71" s="45"/>
      <c r="AM71" s="45"/>
      <c r="AN71" s="45"/>
      <c r="AO71" s="45"/>
      <c r="AP71" s="45"/>
      <c r="AQ71" s="45"/>
      <c r="AR71" s="45"/>
      <c r="AS71" s="45"/>
      <c r="AT71" s="45"/>
      <c r="AU71" s="45"/>
      <c r="AV71" s="45"/>
      <c r="AW71" s="45"/>
      <c r="AX71" s="45"/>
      <c r="AY71" s="45"/>
      <c r="AZ71" s="45"/>
      <c r="BA71" s="45"/>
      <c r="BB71" s="45"/>
      <c r="BC71" s="45"/>
      <c r="BD71" s="45"/>
      <c r="BE71" s="45"/>
      <c r="BF71" s="45"/>
      <c r="BG71" s="45"/>
      <c r="BH71" s="45"/>
      <c r="BI71" s="45"/>
      <c r="BJ71" s="45"/>
      <c r="BK71" s="45"/>
      <c r="BL71" s="45"/>
      <c r="BM71" s="45"/>
      <c r="BN71" s="45"/>
      <c r="BO71" s="45"/>
      <c r="BP71" s="45"/>
      <c r="BQ71" s="45"/>
      <c r="BR71" s="45"/>
      <c r="BS71" s="45"/>
      <c r="BT71" s="45"/>
      <c r="BU71" s="45"/>
      <c r="BV71" s="45"/>
      <c r="BW71" s="45"/>
      <c r="BX71" s="45"/>
    </row>
    <row r="72" spans="1:76" x14ac:dyDescent="0.3">
      <c r="AO72" s="45"/>
      <c r="AP72" s="45"/>
      <c r="AQ72" s="45"/>
      <c r="AT72" s="45"/>
      <c r="AU72" s="45"/>
      <c r="AV72" s="45"/>
      <c r="AY72" s="45"/>
      <c r="AZ72" s="45"/>
      <c r="BA72" s="45"/>
      <c r="BB72" s="45"/>
      <c r="BC72" s="45"/>
      <c r="BD72" s="45"/>
      <c r="BE72" s="45"/>
      <c r="BF72" s="45"/>
      <c r="BG72" s="45"/>
      <c r="BH72" s="45"/>
      <c r="BI72" s="45"/>
      <c r="BJ72" s="45"/>
      <c r="BK72" s="45"/>
      <c r="BL72" s="45"/>
      <c r="BM72" s="45"/>
      <c r="BN72" s="45"/>
      <c r="BO72" s="45"/>
      <c r="BP72" s="45"/>
      <c r="BQ72" s="45"/>
      <c r="BR72" s="45"/>
      <c r="BS72" s="45">
        <f t="shared" ref="BS72" si="52">+BS70-BS33</f>
        <v>0</v>
      </c>
      <c r="BT72" s="45">
        <f>+BT70-BT33</f>
        <v>0</v>
      </c>
      <c r="BU72" s="45">
        <f>+BU70-BU33</f>
        <v>0</v>
      </c>
      <c r="BV72" s="45">
        <f t="shared" ref="BV72:BX72" si="53">+BV70-BV33</f>
        <v>0</v>
      </c>
      <c r="BW72" s="45">
        <f t="shared" si="53"/>
        <v>0</v>
      </c>
      <c r="BX72" s="45">
        <f t="shared" si="53"/>
        <v>0</v>
      </c>
    </row>
    <row r="73" spans="1:76" x14ac:dyDescent="0.3">
      <c r="X73" s="45"/>
      <c r="Y73" s="45"/>
      <c r="Z73" s="45"/>
      <c r="AA73" s="45"/>
      <c r="AB73" s="45"/>
      <c r="AC73" s="45"/>
      <c r="AD73" s="45"/>
      <c r="AE73" s="45"/>
      <c r="AF73" s="45"/>
      <c r="AG73" s="45"/>
      <c r="AH73" s="45"/>
      <c r="AI73" s="45"/>
      <c r="AJ73" s="45"/>
      <c r="AK73" s="45"/>
      <c r="AL73" s="45"/>
      <c r="AM73" s="45"/>
      <c r="AN73" s="45"/>
      <c r="AO73" s="45"/>
      <c r="AP73" s="45"/>
      <c r="AQ73" s="45"/>
      <c r="AT73" s="45"/>
      <c r="AU73" s="45"/>
      <c r="AV73" s="45"/>
      <c r="AY73" s="45"/>
      <c r="AZ73" s="45"/>
      <c r="BA73" s="45"/>
      <c r="BB73" s="45"/>
      <c r="BC73" s="45"/>
      <c r="BD73" s="45"/>
      <c r="BE73" s="45"/>
      <c r="BF73" s="45"/>
      <c r="BG73" s="45"/>
      <c r="BH73" s="45"/>
      <c r="BI73" s="45"/>
      <c r="BJ73" s="45"/>
      <c r="BK73" s="45"/>
      <c r="BL73" s="45"/>
      <c r="BM73" s="45"/>
      <c r="BN73" s="45"/>
      <c r="BO73" s="45"/>
      <c r="BP73" s="45"/>
      <c r="BQ73" s="45"/>
      <c r="BR73" s="45"/>
      <c r="BS73" s="45"/>
      <c r="BT73" s="45"/>
      <c r="BU73" s="45"/>
      <c r="BV73" s="45"/>
      <c r="BW73" s="45"/>
      <c r="BX73" s="45"/>
    </row>
    <row r="74" spans="1:76" x14ac:dyDescent="0.3">
      <c r="AJ74" s="60"/>
      <c r="AK74" s="60"/>
    </row>
  </sheetData>
  <conditionalFormatting sqref="AG3:AN3">
    <cfRule type="cellIs" dxfId="31" priority="11" operator="equal">
      <formula>0</formula>
    </cfRule>
    <cfRule type="cellIs" dxfId="30" priority="12" operator="equal">
      <formula>1</formula>
    </cfRule>
  </conditionalFormatting>
  <conditionalFormatting sqref="AQ3:AS3">
    <cfRule type="cellIs" dxfId="29" priority="13" operator="equal">
      <formula>0</formula>
    </cfRule>
    <cfRule type="cellIs" dxfId="28" priority="14" operator="equal">
      <formula>1</formula>
    </cfRule>
  </conditionalFormatting>
  <conditionalFormatting sqref="AV3:AX3">
    <cfRule type="cellIs" dxfId="27" priority="9" operator="equal">
      <formula>0</formula>
    </cfRule>
    <cfRule type="cellIs" dxfId="26" priority="10" operator="equal">
      <formula>1</formula>
    </cfRule>
  </conditionalFormatting>
  <conditionalFormatting sqref="BA3:BC3">
    <cfRule type="cellIs" dxfId="25" priority="7" operator="equal">
      <formula>0</formula>
    </cfRule>
    <cfRule type="cellIs" dxfId="24" priority="8" operator="equal">
      <formula>1</formula>
    </cfRule>
  </conditionalFormatting>
  <conditionalFormatting sqref="BF3:BH3">
    <cfRule type="cellIs" dxfId="23" priority="15" operator="equal">
      <formula>0</formula>
    </cfRule>
    <cfRule type="cellIs" dxfId="22" priority="16" operator="equal">
      <formula>1</formula>
    </cfRule>
  </conditionalFormatting>
  <conditionalFormatting sqref="BK3:BM3">
    <cfRule type="cellIs" dxfId="21" priority="5" operator="equal">
      <formula>0</formula>
    </cfRule>
    <cfRule type="cellIs" dxfId="20" priority="6" operator="equal">
      <formula>1</formula>
    </cfRule>
  </conditionalFormatting>
  <conditionalFormatting sqref="BP3:BR3">
    <cfRule type="cellIs" dxfId="19" priority="3" operator="equal">
      <formula>0</formula>
    </cfRule>
    <cfRule type="cellIs" dxfId="18" priority="4" operator="equal">
      <formula>1</formula>
    </cfRule>
  </conditionalFormatting>
  <conditionalFormatting sqref="BU3:BW3">
    <cfRule type="cellIs" dxfId="17" priority="1" operator="equal">
      <formula>0</formula>
    </cfRule>
    <cfRule type="cellIs" dxfId="16" priority="2" operator="equal">
      <formula>1</formula>
    </cfRule>
  </conditionalFormatting>
  <hyperlinks>
    <hyperlink ref="A1" location="Índice!A1" display="Regreso al índice" xr:uid="{E150D025-8B2F-42C5-86D5-A49E232EFCD1}"/>
  </hyperlink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F368F7-89CC-48AA-8BCF-26066906B4F1}">
  <dimension ref="A1:BX73"/>
  <sheetViews>
    <sheetView showGridLines="0" zoomScale="110" zoomScaleNormal="110" workbookViewId="0">
      <pane xSplit="2" ySplit="3" topLeftCell="BI4" activePane="bottomRight" state="frozen"/>
      <selection activeCell="BW70" sqref="BW70"/>
      <selection pane="topRight" activeCell="BW70" sqref="BW70"/>
      <selection pane="bottomLeft" activeCell="BW70" sqref="BW70"/>
      <selection pane="bottomRight" activeCell="BY3" sqref="BY3"/>
    </sheetView>
  </sheetViews>
  <sheetFormatPr baseColWidth="10" defaultColWidth="9" defaultRowHeight="14.5" outlineLevelCol="1" x14ac:dyDescent="0.35"/>
  <cols>
    <col min="1" max="1" width="2.453125" style="23" customWidth="1"/>
    <col min="2" max="2" width="54.54296875" style="23" bestFit="1" customWidth="1"/>
    <col min="3" max="5" width="11.453125" style="1" hidden="1" customWidth="1" outlineLevel="1"/>
    <col min="6" max="6" width="11.453125" style="1" customWidth="1" collapsed="1"/>
    <col min="7" max="7" width="11.453125" style="1" customWidth="1"/>
    <col min="8" max="10" width="11.453125" style="1" hidden="1" customWidth="1" outlineLevel="1"/>
    <col min="11" max="11" width="11.453125" style="1" customWidth="1" collapsed="1"/>
    <col min="12" max="12" width="11.453125" style="1" customWidth="1"/>
    <col min="13" max="15" width="11.453125" style="1" hidden="1" customWidth="1" outlineLevel="1"/>
    <col min="16" max="16" width="11.453125" style="1" customWidth="1" collapsed="1"/>
    <col min="17" max="17" width="11.453125" style="1" customWidth="1"/>
    <col min="18" max="20" width="11.453125" style="1" hidden="1" customWidth="1" outlineLevel="1"/>
    <col min="21" max="21" width="11.453125" style="1" customWidth="1" collapsed="1"/>
    <col min="22" max="22" width="11.453125" style="1" customWidth="1"/>
    <col min="23" max="25" width="11.453125" style="1" hidden="1" customWidth="1" outlineLevel="1"/>
    <col min="26" max="26" width="11.453125" style="1" customWidth="1" collapsed="1"/>
    <col min="27" max="27" width="11.453125" style="1" customWidth="1"/>
    <col min="28" max="30" width="11.453125" style="1" hidden="1" customWidth="1" outlineLevel="1"/>
    <col min="31" max="31" width="11.453125" style="1" customWidth="1" collapsed="1"/>
    <col min="32" max="32" width="11.453125" style="1" customWidth="1"/>
    <col min="33" max="35" width="11.453125" style="1" hidden="1" customWidth="1" outlineLevel="1"/>
    <col min="36" max="36" width="11.453125" style="1" customWidth="1" collapsed="1"/>
    <col min="37" max="37" width="11.453125" style="1" customWidth="1"/>
    <col min="38" max="40" width="11.453125" style="1" hidden="1" customWidth="1" outlineLevel="1"/>
    <col min="41" max="41" width="11.453125" style="1" customWidth="1" collapsed="1"/>
    <col min="42" max="42" width="11.453125" style="1" customWidth="1"/>
    <col min="43" max="45" width="11.453125" style="23" hidden="1" customWidth="1" outlineLevel="1"/>
    <col min="46" max="46" width="11.453125" style="1" customWidth="1" collapsed="1"/>
    <col min="47" max="47" width="11.453125" style="1" customWidth="1"/>
    <col min="48" max="50" width="11.453125" style="23" hidden="1" customWidth="1" outlineLevel="1"/>
    <col min="51" max="51" width="11.453125" style="1" customWidth="1" collapsed="1"/>
    <col min="52" max="52" width="11.453125" style="1" customWidth="1"/>
    <col min="53" max="55" width="11.453125" style="23" hidden="1" customWidth="1" outlineLevel="1"/>
    <col min="56" max="56" width="11.453125" style="23" customWidth="1" collapsed="1"/>
    <col min="57" max="57" width="11.453125" style="23" customWidth="1"/>
    <col min="58" max="60" width="11.453125" style="23" hidden="1" customWidth="1" outlineLevel="1"/>
    <col min="61" max="61" width="11.453125" style="23" customWidth="1" collapsed="1"/>
    <col min="62" max="62" width="11.453125" style="23" customWidth="1"/>
    <col min="63" max="65" width="11.453125" style="23" hidden="1" customWidth="1" outlineLevel="1"/>
    <col min="66" max="66" width="11.453125" style="23" customWidth="1" collapsed="1"/>
    <col min="67" max="67" width="11.453125" style="23" customWidth="1"/>
    <col min="68" max="70" width="11.453125" style="23" hidden="1" customWidth="1" outlineLevel="1"/>
    <col min="71" max="71" width="11.453125" style="23" customWidth="1" collapsed="1"/>
    <col min="72" max="74" width="11.453125" style="23" customWidth="1"/>
    <col min="75" max="75" width="11.453125" style="23" customWidth="1" outlineLevel="1"/>
    <col min="76" max="76" width="11.453125" style="23" customWidth="1"/>
    <col min="77" max="16384" width="9" style="1"/>
  </cols>
  <sheetData>
    <row r="1" spans="1:76" x14ac:dyDescent="0.35">
      <c r="A1" s="130" t="s">
        <v>252</v>
      </c>
      <c r="AQ1" s="46"/>
      <c r="AR1" s="46"/>
      <c r="AS1" s="46"/>
      <c r="AV1" s="46"/>
      <c r="AW1" s="46"/>
      <c r="AX1" s="46"/>
      <c r="BA1" s="46"/>
      <c r="BB1" s="46"/>
      <c r="BC1" s="46"/>
      <c r="BD1" s="46"/>
      <c r="BE1" s="46"/>
      <c r="BF1" s="46"/>
      <c r="BG1" s="46"/>
      <c r="BH1" s="46"/>
      <c r="BI1" s="46"/>
      <c r="BJ1" s="46"/>
      <c r="BK1" s="46"/>
      <c r="BL1" s="46"/>
      <c r="BM1" s="46"/>
      <c r="BN1" s="46"/>
      <c r="BO1" s="46"/>
      <c r="BP1" s="46"/>
      <c r="BQ1" s="46"/>
      <c r="BR1" s="46"/>
      <c r="BS1" s="46"/>
      <c r="BT1" s="46"/>
      <c r="BU1" s="46"/>
      <c r="BV1" s="46"/>
      <c r="BW1" s="46"/>
      <c r="BX1" s="46"/>
    </row>
    <row r="2" spans="1:76" ht="15" thickBot="1" x14ac:dyDescent="0.4">
      <c r="AQ2" s="46"/>
      <c r="AR2" s="46"/>
      <c r="AS2" s="46"/>
      <c r="AV2" s="46"/>
      <c r="AW2" s="46"/>
      <c r="AX2" s="46"/>
      <c r="BA2" s="46"/>
      <c r="BB2" s="46"/>
      <c r="BC2" s="46"/>
      <c r="BD2" s="46"/>
      <c r="BE2" s="46"/>
      <c r="BF2" s="46"/>
      <c r="BG2" s="46"/>
      <c r="BH2" s="46"/>
      <c r="BI2" s="46"/>
      <c r="BJ2" s="46"/>
      <c r="BK2" s="46"/>
      <c r="BL2" s="46"/>
      <c r="BM2" s="46"/>
      <c r="BN2" s="46"/>
      <c r="BO2" s="46"/>
      <c r="BP2" s="46"/>
      <c r="BQ2" s="46"/>
      <c r="BR2" s="46"/>
      <c r="BS2" s="46"/>
      <c r="BT2" s="46"/>
      <c r="BU2" s="46"/>
      <c r="BV2" s="46"/>
      <c r="BW2" s="46"/>
      <c r="BX2" s="46"/>
    </row>
    <row r="3" spans="1:76" customFormat="1" ht="15.5" thickTop="1" thickBot="1" x14ac:dyDescent="0.4">
      <c r="A3" s="29"/>
      <c r="B3" s="31" t="s">
        <v>166</v>
      </c>
      <c r="C3" s="32" t="s">
        <v>174</v>
      </c>
      <c r="D3" s="32" t="s">
        <v>175</v>
      </c>
      <c r="E3" s="32" t="s">
        <v>176</v>
      </c>
      <c r="F3" s="34" t="s">
        <v>61</v>
      </c>
      <c r="G3" s="166" t="s">
        <v>366</v>
      </c>
      <c r="H3" s="32" t="s">
        <v>177</v>
      </c>
      <c r="I3" s="32" t="s">
        <v>178</v>
      </c>
      <c r="J3" s="32" t="s">
        <v>179</v>
      </c>
      <c r="K3" s="34" t="s">
        <v>62</v>
      </c>
      <c r="L3" s="166" t="s">
        <v>367</v>
      </c>
      <c r="M3" s="32" t="s">
        <v>180</v>
      </c>
      <c r="N3" s="32" t="s">
        <v>181</v>
      </c>
      <c r="O3" s="32" t="s">
        <v>182</v>
      </c>
      <c r="P3" s="34">
        <v>2013</v>
      </c>
      <c r="Q3" s="164" t="s">
        <v>368</v>
      </c>
      <c r="R3" s="33" t="s">
        <v>183</v>
      </c>
      <c r="S3" s="33" t="s">
        <v>184</v>
      </c>
      <c r="T3" s="33" t="s">
        <v>185</v>
      </c>
      <c r="U3" s="34">
        <v>2014</v>
      </c>
      <c r="V3" s="164" t="s">
        <v>369</v>
      </c>
      <c r="W3" s="33" t="s">
        <v>186</v>
      </c>
      <c r="X3" s="33" t="s">
        <v>187</v>
      </c>
      <c r="Y3" s="33" t="s">
        <v>188</v>
      </c>
      <c r="Z3" s="34">
        <v>2015</v>
      </c>
      <c r="AA3" s="164" t="s">
        <v>370</v>
      </c>
      <c r="AB3" s="33" t="s">
        <v>189</v>
      </c>
      <c r="AC3" s="33" t="s">
        <v>190</v>
      </c>
      <c r="AD3" s="33" t="s">
        <v>191</v>
      </c>
      <c r="AE3" s="34">
        <v>2016</v>
      </c>
      <c r="AF3" s="164">
        <v>2016</v>
      </c>
      <c r="AG3" s="33" t="s">
        <v>192</v>
      </c>
      <c r="AH3" s="33" t="s">
        <v>193</v>
      </c>
      <c r="AI3" s="33" t="s">
        <v>194</v>
      </c>
      <c r="AJ3" s="35">
        <v>2017</v>
      </c>
      <c r="AK3" s="165" t="s">
        <v>372</v>
      </c>
      <c r="AL3" s="33" t="s">
        <v>195</v>
      </c>
      <c r="AM3" s="33" t="s">
        <v>196</v>
      </c>
      <c r="AN3" s="33" t="s">
        <v>197</v>
      </c>
      <c r="AO3" s="34">
        <v>2018</v>
      </c>
      <c r="AP3" s="164" t="s">
        <v>373</v>
      </c>
      <c r="AQ3" s="33" t="s">
        <v>173</v>
      </c>
      <c r="AR3" s="33" t="s">
        <v>171</v>
      </c>
      <c r="AS3" s="33" t="s">
        <v>172</v>
      </c>
      <c r="AT3" s="34">
        <v>2019</v>
      </c>
      <c r="AU3" s="164" t="s">
        <v>374</v>
      </c>
      <c r="AV3" s="33" t="s">
        <v>289</v>
      </c>
      <c r="AW3" s="33" t="s">
        <v>290</v>
      </c>
      <c r="AX3" s="33" t="s">
        <v>291</v>
      </c>
      <c r="AY3" s="34">
        <v>2020</v>
      </c>
      <c r="AZ3" s="164" t="s">
        <v>375</v>
      </c>
      <c r="BA3" s="33" t="s">
        <v>303</v>
      </c>
      <c r="BB3" s="33" t="s">
        <v>307</v>
      </c>
      <c r="BC3" s="33" t="s">
        <v>311</v>
      </c>
      <c r="BD3" s="34">
        <v>2021</v>
      </c>
      <c r="BE3" s="164" t="s">
        <v>337</v>
      </c>
      <c r="BF3" s="33" t="s">
        <v>322</v>
      </c>
      <c r="BG3" s="33" t="s">
        <v>330</v>
      </c>
      <c r="BH3" s="33" t="s">
        <v>333</v>
      </c>
      <c r="BI3" s="34">
        <v>2022</v>
      </c>
      <c r="BJ3" s="164" t="s">
        <v>362</v>
      </c>
      <c r="BK3" s="33" t="s">
        <v>377</v>
      </c>
      <c r="BL3" s="33" t="s">
        <v>378</v>
      </c>
      <c r="BM3" s="33" t="s">
        <v>379</v>
      </c>
      <c r="BN3" s="34">
        <v>2023</v>
      </c>
      <c r="BO3" s="164" t="s">
        <v>399</v>
      </c>
      <c r="BP3" s="33" t="s">
        <v>400</v>
      </c>
      <c r="BQ3" s="33" t="s">
        <v>401</v>
      </c>
      <c r="BR3" s="33" t="s">
        <v>402</v>
      </c>
      <c r="BS3" s="34">
        <v>2024</v>
      </c>
      <c r="BT3" s="164" t="s">
        <v>416</v>
      </c>
      <c r="BU3" s="33" t="s">
        <v>421</v>
      </c>
      <c r="BV3" s="33" t="s">
        <v>422</v>
      </c>
      <c r="BW3" s="33" t="s">
        <v>423</v>
      </c>
      <c r="BX3" s="34">
        <v>2025</v>
      </c>
    </row>
    <row r="4" spans="1:76" ht="15" thickTop="1" x14ac:dyDescent="0.35">
      <c r="B4" s="51" t="s">
        <v>168</v>
      </c>
    </row>
    <row r="5" spans="1:76" x14ac:dyDescent="0.35">
      <c r="B5" s="51" t="s">
        <v>128</v>
      </c>
      <c r="C5" s="84">
        <v>15239.724</v>
      </c>
      <c r="D5" s="84">
        <v>125428.53</v>
      </c>
      <c r="E5" s="84">
        <v>286270.01400000002</v>
      </c>
      <c r="F5" s="84">
        <v>415053.10700000002</v>
      </c>
      <c r="G5" s="84">
        <v>415053.10700000002</v>
      </c>
      <c r="H5" s="84">
        <v>28808.975999999999</v>
      </c>
      <c r="I5" s="84">
        <v>274380.50900000002</v>
      </c>
      <c r="J5" s="84">
        <v>1035247.8689999999</v>
      </c>
      <c r="K5" s="84">
        <v>1274258</v>
      </c>
      <c r="L5" s="84">
        <v>1274258</v>
      </c>
      <c r="M5" s="84">
        <v>844792</v>
      </c>
      <c r="N5" s="84">
        <v>1270113</v>
      </c>
      <c r="O5" s="84">
        <v>2146980</v>
      </c>
      <c r="P5" s="84">
        <v>9075392</v>
      </c>
      <c r="Q5" s="84">
        <v>9075393</v>
      </c>
      <c r="R5" s="84">
        <v>1054544</v>
      </c>
      <c r="S5" s="84">
        <v>2777001</v>
      </c>
      <c r="T5" s="84">
        <v>3437068</v>
      </c>
      <c r="U5" s="84">
        <v>5711058</v>
      </c>
      <c r="V5" s="84">
        <v>5711085</v>
      </c>
      <c r="W5" s="120">
        <v>1392952</v>
      </c>
      <c r="X5" s="120">
        <v>2736448</v>
      </c>
      <c r="Y5" s="120">
        <v>2962858</v>
      </c>
      <c r="Z5" s="120">
        <v>5734490</v>
      </c>
      <c r="AA5" s="120">
        <v>5734490</v>
      </c>
      <c r="AB5" s="120">
        <v>2769457</v>
      </c>
      <c r="AC5" s="120">
        <v>5114722</v>
      </c>
      <c r="AD5" s="120">
        <v>6435562</v>
      </c>
      <c r="AE5" s="120">
        <v>12393912</v>
      </c>
      <c r="AF5" s="120">
        <v>12393912</v>
      </c>
      <c r="AG5" s="120">
        <v>5037184</v>
      </c>
      <c r="AH5" s="120">
        <v>8554892</v>
      </c>
      <c r="AI5" s="120">
        <v>10625793</v>
      </c>
      <c r="AJ5" s="120">
        <v>12158180</v>
      </c>
      <c r="AK5" s="120">
        <v>12158180</v>
      </c>
      <c r="AL5" s="120">
        <v>4819637</v>
      </c>
      <c r="AM5" s="120">
        <v>5681654</v>
      </c>
      <c r="AN5" s="120">
        <v>10264526</v>
      </c>
      <c r="AO5" s="120">
        <v>17270752</v>
      </c>
      <c r="AP5" s="120">
        <v>17270752</v>
      </c>
      <c r="AQ5" s="84">
        <v>4263838</v>
      </c>
      <c r="AR5" s="84">
        <v>9737294</v>
      </c>
      <c r="AS5" s="84">
        <v>11707522</v>
      </c>
      <c r="AT5" s="84">
        <v>18725010</v>
      </c>
      <c r="AU5" s="84">
        <v>18150318</v>
      </c>
      <c r="AV5" s="84">
        <v>-15059421</v>
      </c>
      <c r="AW5" s="84">
        <v>-1701585</v>
      </c>
      <c r="AX5" s="84">
        <f>'[8]EFF word'!$E$9</f>
        <v>2837553.5555300033</v>
      </c>
      <c r="AY5" s="84">
        <v>13959234</v>
      </c>
      <c r="AZ5" s="84">
        <v>13959234</v>
      </c>
      <c r="BA5" s="84">
        <f>'[7]EFF Mar21'!$E$9</f>
        <v>-338467</v>
      </c>
      <c r="BB5" s="84">
        <f>'[9]EFF word'!$E$9</f>
        <v>1180717</v>
      </c>
      <c r="BC5" s="84">
        <v>641997</v>
      </c>
      <c r="BD5" s="84">
        <v>4010004</v>
      </c>
      <c r="BE5" s="84">
        <v>4010004</v>
      </c>
      <c r="BF5" s="84">
        <v>4362438</v>
      </c>
      <c r="BG5" s="84">
        <v>6982258.2860812666</v>
      </c>
      <c r="BH5" s="84">
        <v>11368054</v>
      </c>
      <c r="BI5" s="84">
        <v>24096889</v>
      </c>
      <c r="BJ5" s="84">
        <v>24096888</v>
      </c>
      <c r="BK5" s="84">
        <v>6669344</v>
      </c>
      <c r="BL5" s="84">
        <v>12352850</v>
      </c>
      <c r="BM5" s="84">
        <v>12279190.58</v>
      </c>
      <c r="BN5" s="84">
        <v>18344065</v>
      </c>
      <c r="BO5" s="84">
        <v>18344065</v>
      </c>
      <c r="BP5" s="84">
        <v>2769331</v>
      </c>
      <c r="BQ5" s="84">
        <v>6998337</v>
      </c>
      <c r="BR5" s="84">
        <v>5967901</v>
      </c>
      <c r="BS5" s="84">
        <v>10006952</v>
      </c>
      <c r="BT5" s="84">
        <v>10006952</v>
      </c>
      <c r="BU5" s="84">
        <v>1585692</v>
      </c>
      <c r="BV5" s="84">
        <v>7013742</v>
      </c>
      <c r="BW5" s="84">
        <v>10725164</v>
      </c>
      <c r="BX5" s="84">
        <v>27049324</v>
      </c>
    </row>
    <row r="6" spans="1:76" x14ac:dyDescent="0.35">
      <c r="B6" s="23" t="s">
        <v>129</v>
      </c>
      <c r="C6" s="52"/>
      <c r="D6" s="52"/>
      <c r="E6" s="52"/>
      <c r="F6" s="52"/>
      <c r="G6" s="52"/>
      <c r="H6" s="52"/>
      <c r="I6" s="52"/>
      <c r="J6" s="52"/>
      <c r="K6" s="52"/>
      <c r="L6" s="52"/>
      <c r="M6" s="52"/>
      <c r="N6" s="52"/>
      <c r="O6" s="52"/>
      <c r="P6" s="52"/>
      <c r="Q6" s="52"/>
      <c r="R6" s="52"/>
      <c r="S6" s="52"/>
      <c r="T6" s="52"/>
      <c r="U6" s="52"/>
      <c r="V6" s="52"/>
      <c r="W6" s="121"/>
      <c r="X6" s="121"/>
      <c r="Y6" s="121"/>
      <c r="Z6" s="121"/>
      <c r="AA6" s="121"/>
      <c r="AB6" s="121"/>
      <c r="AC6" s="121"/>
      <c r="AD6" s="121"/>
      <c r="AE6" s="121"/>
      <c r="AF6" s="121"/>
      <c r="AG6" s="121"/>
      <c r="AH6" s="121"/>
      <c r="AI6" s="121"/>
      <c r="AJ6" s="121"/>
      <c r="AK6" s="121"/>
      <c r="AL6" s="121"/>
      <c r="AM6" s="121"/>
      <c r="AN6" s="121"/>
      <c r="AO6" s="121"/>
      <c r="AP6" s="121"/>
      <c r="AQ6" s="52"/>
      <c r="AR6" s="52"/>
      <c r="AS6" s="52"/>
      <c r="AT6" s="52"/>
      <c r="AU6" s="52"/>
      <c r="AV6" s="52"/>
      <c r="AW6" s="52"/>
      <c r="AX6" s="52"/>
      <c r="AY6" s="52"/>
      <c r="AZ6" s="52"/>
      <c r="BA6" s="52"/>
      <c r="BB6" s="52"/>
      <c r="BC6" s="52"/>
      <c r="BD6" s="52"/>
      <c r="BE6" s="52"/>
      <c r="BF6" s="52"/>
      <c r="BG6" s="52"/>
      <c r="BH6" s="52"/>
      <c r="BI6" s="52"/>
      <c r="BJ6" s="52"/>
      <c r="BK6" s="52"/>
      <c r="BL6" s="52"/>
      <c r="BM6" s="52"/>
      <c r="BN6" s="52"/>
      <c r="BO6" s="52"/>
      <c r="BP6" s="52"/>
      <c r="BQ6" s="52"/>
      <c r="BR6" s="52"/>
      <c r="BS6" s="52"/>
      <c r="BT6" s="52"/>
      <c r="BU6" s="52"/>
      <c r="BV6" s="52"/>
      <c r="BW6" s="52"/>
      <c r="BX6" s="52"/>
    </row>
    <row r="7" spans="1:76" x14ac:dyDescent="0.35">
      <c r="B7" s="23" t="s">
        <v>130</v>
      </c>
      <c r="C7" s="52"/>
      <c r="D7" s="52">
        <v>16733.227999999999</v>
      </c>
      <c r="E7" s="52">
        <v>27494.257000000001</v>
      </c>
      <c r="F7" s="52">
        <v>62932.063000000002</v>
      </c>
      <c r="G7" s="52">
        <v>62932.063000000002</v>
      </c>
      <c r="H7" s="52">
        <v>30819.905999999999</v>
      </c>
      <c r="I7" s="52">
        <v>3100.5360000000001</v>
      </c>
      <c r="J7" s="52">
        <v>19606.742999999999</v>
      </c>
      <c r="K7" s="52">
        <v>-264588</v>
      </c>
      <c r="L7" s="52">
        <v>-264588</v>
      </c>
      <c r="M7" s="52" t="s">
        <v>243</v>
      </c>
      <c r="N7" s="52" t="s">
        <v>243</v>
      </c>
      <c r="O7" s="52" t="s">
        <v>243</v>
      </c>
      <c r="P7" s="52">
        <v>-7720462</v>
      </c>
      <c r="Q7" s="52">
        <v>-7720462</v>
      </c>
      <c r="R7" s="52">
        <v>-294907</v>
      </c>
      <c r="S7" s="52">
        <v>-1072832</v>
      </c>
      <c r="T7" s="52">
        <v>-1665075</v>
      </c>
      <c r="U7" s="52">
        <v>-4659760</v>
      </c>
      <c r="V7" s="52">
        <v>-4659760</v>
      </c>
      <c r="W7" s="121">
        <v>-1164940</v>
      </c>
      <c r="X7" s="121">
        <v>-1878028</v>
      </c>
      <c r="Y7" s="121">
        <v>-2837712</v>
      </c>
      <c r="Z7" s="121">
        <v>-4714042</v>
      </c>
      <c r="AA7" s="121">
        <v>-4714041</v>
      </c>
      <c r="AB7" s="121">
        <v>-1274845</v>
      </c>
      <c r="AC7" s="121">
        <v>-4171992</v>
      </c>
      <c r="AD7" s="121">
        <v>-5080669</v>
      </c>
      <c r="AE7" s="121">
        <v>-11266275</v>
      </c>
      <c r="AF7" s="121">
        <v>-11266275</v>
      </c>
      <c r="AG7" s="121">
        <v>-1144207</v>
      </c>
      <c r="AH7" s="121">
        <v>-2431845</v>
      </c>
      <c r="AI7" s="121">
        <v>-3427356</v>
      </c>
      <c r="AJ7" s="121">
        <v>-4505385</v>
      </c>
      <c r="AK7" s="121">
        <v>-4505385</v>
      </c>
      <c r="AL7" s="121">
        <v>-1662426</v>
      </c>
      <c r="AM7" s="121">
        <v>-3029960</v>
      </c>
      <c r="AN7" s="121">
        <v>-3956764</v>
      </c>
      <c r="AO7" s="121">
        <v>-10450045</v>
      </c>
      <c r="AP7" s="121">
        <v>-10450045</v>
      </c>
      <c r="AQ7" s="52">
        <v>-1700231</v>
      </c>
      <c r="AR7" s="52">
        <v>-4925773</v>
      </c>
      <c r="AS7" s="52">
        <v>-5998023</v>
      </c>
      <c r="AT7" s="52">
        <v>-8712632</v>
      </c>
      <c r="AU7" s="52">
        <v>-8161085</v>
      </c>
      <c r="AV7" s="52">
        <v>-54873</v>
      </c>
      <c r="AW7" s="52">
        <v>-8260767</v>
      </c>
      <c r="AX7" s="52">
        <v>-8942274.9851899985</v>
      </c>
      <c r="AY7" s="52">
        <v>-10099883</v>
      </c>
      <c r="AZ7" s="52">
        <v>-10099883</v>
      </c>
      <c r="BA7" s="52">
        <v>-155588</v>
      </c>
      <c r="BB7" s="52">
        <v>3592327</v>
      </c>
      <c r="BC7" s="52">
        <v>3579718</v>
      </c>
      <c r="BD7" s="52">
        <v>2579128</v>
      </c>
      <c r="BE7" s="52">
        <v>2579128</v>
      </c>
      <c r="BF7" s="52">
        <v>-305170</v>
      </c>
      <c r="BG7" s="52">
        <v>-488941.49531000003</v>
      </c>
      <c r="BH7" s="52">
        <v>-3907500</v>
      </c>
      <c r="BI7" s="52">
        <v>-11102846</v>
      </c>
      <c r="BJ7" s="181">
        <v>-11102844</v>
      </c>
      <c r="BK7" s="52">
        <v>-230021</v>
      </c>
      <c r="BL7" s="52">
        <v>-1046939</v>
      </c>
      <c r="BM7" s="52">
        <v>-1120319</v>
      </c>
      <c r="BN7" s="52">
        <v>-2164140</v>
      </c>
      <c r="BO7" s="52">
        <v>-2164140</v>
      </c>
      <c r="BP7" s="52">
        <v>-83422.465639999995</v>
      </c>
      <c r="BQ7" s="52">
        <v>-6796468</v>
      </c>
      <c r="BR7" s="52">
        <v>-8066832</v>
      </c>
      <c r="BS7" s="84">
        <v>-11188024</v>
      </c>
      <c r="BT7" s="84">
        <v>-11188024</v>
      </c>
      <c r="BU7" s="52">
        <v>15595</v>
      </c>
      <c r="BV7" s="52">
        <v>-209771</v>
      </c>
      <c r="BW7" s="52">
        <v>-254236</v>
      </c>
      <c r="BX7" s="84">
        <v>-11693975</v>
      </c>
    </row>
    <row r="8" spans="1:76" x14ac:dyDescent="0.35">
      <c r="B8" s="23" t="s">
        <v>297</v>
      </c>
      <c r="C8" s="52"/>
      <c r="D8" s="52"/>
      <c r="E8" s="52"/>
      <c r="F8" s="52"/>
      <c r="G8" s="52"/>
      <c r="H8" s="52"/>
      <c r="I8" s="52"/>
      <c r="J8" s="52"/>
      <c r="K8" s="52"/>
      <c r="L8" s="52"/>
      <c r="M8" s="52"/>
      <c r="N8" s="52"/>
      <c r="O8" s="52"/>
      <c r="P8" s="52"/>
      <c r="Q8" s="52">
        <v>-78140</v>
      </c>
      <c r="R8" s="52"/>
      <c r="S8" s="52"/>
      <c r="T8" s="52"/>
      <c r="U8" s="52"/>
      <c r="V8" s="52">
        <v>2030618</v>
      </c>
      <c r="W8" s="121"/>
      <c r="X8" s="121"/>
      <c r="Y8" s="121"/>
      <c r="Z8" s="121"/>
      <c r="AA8" s="121">
        <v>4022379</v>
      </c>
      <c r="AB8" s="121"/>
      <c r="AC8" s="121"/>
      <c r="AD8" s="121"/>
      <c r="AE8" s="121"/>
      <c r="AF8" s="121">
        <v>4188988</v>
      </c>
      <c r="AG8" s="121"/>
      <c r="AH8" s="121"/>
      <c r="AI8" s="121"/>
      <c r="AJ8" s="121"/>
      <c r="AK8" s="121">
        <v>-431194</v>
      </c>
      <c r="AL8" s="121"/>
      <c r="AM8" s="121"/>
      <c r="AN8" s="121"/>
      <c r="AO8" s="121"/>
      <c r="AP8" s="121">
        <v>-280650</v>
      </c>
      <c r="AQ8" s="52"/>
      <c r="AR8" s="52"/>
      <c r="AS8" s="52"/>
      <c r="AT8" s="52"/>
      <c r="AU8" s="52">
        <v>-760121</v>
      </c>
      <c r="AV8" s="52"/>
      <c r="AW8" s="52">
        <v>12690128</v>
      </c>
      <c r="AX8" s="52">
        <v>9869394</v>
      </c>
      <c r="AY8" s="52">
        <v>1881143</v>
      </c>
      <c r="AZ8" s="52">
        <v>2220436</v>
      </c>
      <c r="BA8" s="52">
        <v>1973534</v>
      </c>
      <c r="BB8" s="52">
        <v>-570543.46999999986</v>
      </c>
      <c r="BC8" s="52">
        <v>1716425</v>
      </c>
      <c r="BD8" s="52">
        <v>2633992</v>
      </c>
      <c r="BE8" s="52">
        <v>2413470</v>
      </c>
      <c r="BF8" s="52">
        <v>-1895851</v>
      </c>
      <c r="BG8" s="52">
        <v>-1908616.61561</v>
      </c>
      <c r="BH8" s="52">
        <v>394794</v>
      </c>
      <c r="BI8" s="52">
        <v>-3091627</v>
      </c>
      <c r="BJ8" s="52">
        <v>-3091626</v>
      </c>
      <c r="BK8" s="52">
        <v>-3700019</v>
      </c>
      <c r="BL8" s="52">
        <v>-7336902</v>
      </c>
      <c r="BM8" s="52">
        <v>-4298902</v>
      </c>
      <c r="BN8" s="52">
        <v>-7728395</v>
      </c>
      <c r="BO8" s="52">
        <v>-7728395</v>
      </c>
      <c r="BP8" s="52">
        <v>47205.413646950037</v>
      </c>
      <c r="BQ8" s="52">
        <v>3720998</v>
      </c>
      <c r="BR8" s="52">
        <v>8561623</v>
      </c>
      <c r="BS8" s="84">
        <v>10059819</v>
      </c>
      <c r="BT8" s="84">
        <v>10059819</v>
      </c>
      <c r="BU8" s="52">
        <v>511945</v>
      </c>
      <c r="BV8" s="52">
        <v>-2753095</v>
      </c>
      <c r="BW8" s="52">
        <v>-4149095</v>
      </c>
      <c r="BX8" s="84">
        <v>-6441962</v>
      </c>
    </row>
    <row r="9" spans="1:76" x14ac:dyDescent="0.35">
      <c r="B9" s="23" t="s">
        <v>131</v>
      </c>
      <c r="C9" s="52"/>
      <c r="D9" s="52"/>
      <c r="E9" s="52"/>
      <c r="F9" s="52"/>
      <c r="G9" s="52"/>
      <c r="H9" s="52"/>
      <c r="I9" s="52"/>
      <c r="J9" s="52"/>
      <c r="K9" s="52"/>
      <c r="L9" s="52"/>
      <c r="M9" s="52">
        <v>-280287</v>
      </c>
      <c r="N9" s="52">
        <v>13483</v>
      </c>
      <c r="O9" s="52">
        <v>13484</v>
      </c>
      <c r="P9" s="52">
        <v>-78140</v>
      </c>
      <c r="Q9" s="52"/>
      <c r="R9" s="52">
        <v>432597</v>
      </c>
      <c r="S9" s="52">
        <v>-228792</v>
      </c>
      <c r="T9" s="52">
        <v>690597</v>
      </c>
      <c r="U9" s="52">
        <v>1201847</v>
      </c>
      <c r="V9" s="52"/>
      <c r="W9" s="121">
        <v>552309</v>
      </c>
      <c r="X9" s="121">
        <v>928563</v>
      </c>
      <c r="Y9" s="121">
        <v>3187736</v>
      </c>
      <c r="Z9" s="121">
        <v>4022379</v>
      </c>
      <c r="AA9" s="121"/>
      <c r="AB9" s="121">
        <v>-232917</v>
      </c>
      <c r="AC9" s="121">
        <v>1253829</v>
      </c>
      <c r="AD9" s="121">
        <v>2751915</v>
      </c>
      <c r="AE9" s="121">
        <v>4188988</v>
      </c>
      <c r="AF9" s="121"/>
      <c r="AG9" s="121">
        <v>-2338856</v>
      </c>
      <c r="AH9" s="121"/>
      <c r="AI9" s="121">
        <v>-2908012</v>
      </c>
      <c r="AJ9" s="121">
        <v>-431194</v>
      </c>
      <c r="AK9" s="121"/>
      <c r="AL9" s="121">
        <v>-3277257</v>
      </c>
      <c r="AM9" s="121"/>
      <c r="AN9" s="121">
        <v>-647514</v>
      </c>
      <c r="AO9" s="121">
        <v>739047</v>
      </c>
      <c r="AP9" s="121"/>
      <c r="AQ9" s="52">
        <v>5784</v>
      </c>
      <c r="AR9" s="52">
        <v>351476</v>
      </c>
      <c r="AS9" s="52">
        <v>100142</v>
      </c>
      <c r="AT9" s="52">
        <v>-411319</v>
      </c>
      <c r="AU9" s="52"/>
      <c r="AV9" s="52">
        <v>15730784</v>
      </c>
      <c r="AW9" s="52">
        <v>-410270</v>
      </c>
      <c r="AX9" s="52">
        <v>-490629</v>
      </c>
      <c r="AY9" s="52"/>
      <c r="AZ9" s="52"/>
      <c r="BA9" s="52"/>
      <c r="BB9" s="52"/>
      <c r="BC9" s="52"/>
      <c r="BD9" s="52"/>
      <c r="BE9" s="52"/>
      <c r="BF9" s="52"/>
      <c r="BG9" s="52"/>
      <c r="BH9" s="52"/>
      <c r="BI9" s="52">
        <v>0</v>
      </c>
      <c r="BJ9" s="52">
        <v>0</v>
      </c>
      <c r="BK9" s="52">
        <v>0</v>
      </c>
      <c r="BL9" s="52">
        <v>0</v>
      </c>
      <c r="BM9" s="52">
        <v>0</v>
      </c>
      <c r="BN9" s="52">
        <v>0</v>
      </c>
      <c r="BO9" s="52">
        <v>0</v>
      </c>
      <c r="BP9" s="52">
        <v>0</v>
      </c>
      <c r="BQ9" s="52">
        <v>0</v>
      </c>
      <c r="BR9" s="52">
        <v>0</v>
      </c>
      <c r="BS9" s="84">
        <v>0</v>
      </c>
      <c r="BT9" s="52">
        <v>0</v>
      </c>
      <c r="BU9" s="52">
        <v>0</v>
      </c>
      <c r="BV9" s="52">
        <v>0</v>
      </c>
      <c r="BW9" s="52">
        <v>0</v>
      </c>
      <c r="BX9" s="84">
        <v>0</v>
      </c>
    </row>
    <row r="10" spans="1:76" x14ac:dyDescent="0.35">
      <c r="B10" s="23" t="s">
        <v>132</v>
      </c>
      <c r="C10" s="52"/>
      <c r="D10" s="52"/>
      <c r="E10" s="52"/>
      <c r="F10" s="52"/>
      <c r="G10" s="52"/>
      <c r="H10" s="52"/>
      <c r="I10" s="52"/>
      <c r="J10" s="52"/>
      <c r="K10" s="52"/>
      <c r="L10" s="52"/>
      <c r="M10" s="52"/>
      <c r="N10" s="52"/>
      <c r="O10" s="52"/>
      <c r="P10" s="52"/>
      <c r="Q10" s="52"/>
      <c r="R10" s="52"/>
      <c r="S10" s="52"/>
      <c r="T10" s="52"/>
      <c r="U10" s="52"/>
      <c r="V10" s="52"/>
      <c r="W10" s="121"/>
      <c r="X10" s="121"/>
      <c r="Y10" s="121"/>
      <c r="Z10" s="121"/>
      <c r="AA10" s="121"/>
      <c r="AB10" s="121"/>
      <c r="AC10" s="121"/>
      <c r="AD10" s="121"/>
      <c r="AE10" s="121"/>
      <c r="AF10" s="121"/>
      <c r="AG10" s="121"/>
      <c r="AH10" s="121" t="s">
        <v>167</v>
      </c>
      <c r="AI10" s="121" t="s">
        <v>167</v>
      </c>
      <c r="AJ10" s="121">
        <v>-83800</v>
      </c>
      <c r="AK10" s="121">
        <v>-83800</v>
      </c>
      <c r="AL10" s="121">
        <v>-22896</v>
      </c>
      <c r="AM10" s="121">
        <v>-110108</v>
      </c>
      <c r="AN10" s="121">
        <v>-174176</v>
      </c>
      <c r="AO10" s="121">
        <v>-223291</v>
      </c>
      <c r="AP10" s="121">
        <v>-223291</v>
      </c>
      <c r="AQ10" s="52">
        <v>-40000</v>
      </c>
      <c r="AR10" s="52">
        <v>-40000</v>
      </c>
      <c r="AS10" s="52">
        <v>-50575</v>
      </c>
      <c r="AT10" s="52">
        <v>-50575</v>
      </c>
      <c r="AU10" s="52">
        <v>-50575</v>
      </c>
      <c r="AV10" s="52">
        <v>0</v>
      </c>
      <c r="AW10" s="52">
        <v>0</v>
      </c>
      <c r="AX10" s="52">
        <v>-199898</v>
      </c>
      <c r="AY10" s="52">
        <v>-489680</v>
      </c>
      <c r="AZ10" s="52">
        <v>-489680</v>
      </c>
      <c r="BA10" s="52">
        <v>-47181</v>
      </c>
      <c r="BB10" s="52">
        <v>-47181</v>
      </c>
      <c r="BC10" s="52">
        <v>-47181</v>
      </c>
      <c r="BD10" s="52">
        <v>-143373</v>
      </c>
      <c r="BE10" s="52">
        <v>-143373</v>
      </c>
      <c r="BF10" s="52"/>
      <c r="BG10" s="52">
        <v>-131795.39817</v>
      </c>
      <c r="BH10" s="52">
        <v>-275227</v>
      </c>
      <c r="BI10" s="52">
        <v>-873052</v>
      </c>
      <c r="BJ10" s="52">
        <v>-873052</v>
      </c>
      <c r="BK10" s="52">
        <v>0</v>
      </c>
      <c r="BL10" s="52">
        <v>0</v>
      </c>
      <c r="BM10" s="52">
        <v>0</v>
      </c>
      <c r="BN10" s="52">
        <v>0</v>
      </c>
      <c r="BO10" s="52">
        <v>0</v>
      </c>
      <c r="BP10" s="52">
        <v>0</v>
      </c>
      <c r="BQ10" s="52">
        <v>0</v>
      </c>
      <c r="BR10" s="52">
        <v>0</v>
      </c>
      <c r="BS10" s="84">
        <v>0</v>
      </c>
      <c r="BT10" s="52">
        <v>0</v>
      </c>
      <c r="BU10" s="52">
        <v>0</v>
      </c>
      <c r="BV10" s="52">
        <v>0</v>
      </c>
      <c r="BW10" s="52">
        <v>-44117</v>
      </c>
      <c r="BX10" s="84">
        <v>-52295</v>
      </c>
    </row>
    <row r="11" spans="1:76" x14ac:dyDescent="0.35">
      <c r="A11" s="23" t="s">
        <v>108</v>
      </c>
      <c r="B11" s="23" t="s">
        <v>331</v>
      </c>
      <c r="C11" s="52"/>
      <c r="D11" s="52"/>
      <c r="E11" s="52"/>
      <c r="F11" s="52"/>
      <c r="G11" s="52"/>
      <c r="H11" s="52"/>
      <c r="I11" s="52"/>
      <c r="J11" s="52"/>
      <c r="K11" s="52"/>
      <c r="L11" s="52"/>
      <c r="M11" s="52"/>
      <c r="N11" s="52"/>
      <c r="O11" s="52"/>
      <c r="P11" s="52"/>
      <c r="Q11" s="52"/>
      <c r="R11" s="52">
        <v>48746</v>
      </c>
      <c r="S11" s="52">
        <v>321197</v>
      </c>
      <c r="T11" s="52">
        <v>353859</v>
      </c>
      <c r="U11" s="52">
        <v>623371</v>
      </c>
      <c r="V11" s="52">
        <v>361529</v>
      </c>
      <c r="W11" s="121">
        <v>134984</v>
      </c>
      <c r="X11" s="121">
        <v>278689</v>
      </c>
      <c r="Y11" s="121">
        <v>432739</v>
      </c>
      <c r="Z11" s="121">
        <v>276851</v>
      </c>
      <c r="AA11" s="121">
        <v>276851</v>
      </c>
      <c r="AB11" s="121">
        <v>100535</v>
      </c>
      <c r="AC11" s="121">
        <v>220718</v>
      </c>
      <c r="AD11" s="121">
        <v>340012</v>
      </c>
      <c r="AE11" s="121">
        <v>328563</v>
      </c>
      <c r="AF11" s="121">
        <v>328563</v>
      </c>
      <c r="AG11" s="121">
        <v>81204</v>
      </c>
      <c r="AH11" s="121">
        <v>162467</v>
      </c>
      <c r="AI11" s="121">
        <v>251704</v>
      </c>
      <c r="AJ11" s="121">
        <v>382008</v>
      </c>
      <c r="AK11" s="121">
        <v>382008</v>
      </c>
      <c r="AL11" s="121">
        <v>86406</v>
      </c>
      <c r="AM11" s="121">
        <v>161623</v>
      </c>
      <c r="AN11" s="121">
        <v>376195</v>
      </c>
      <c r="AO11" s="121">
        <v>439364</v>
      </c>
      <c r="AP11" s="121">
        <v>466564</v>
      </c>
      <c r="AQ11" s="52">
        <v>67137</v>
      </c>
      <c r="AR11" s="52">
        <v>151497</v>
      </c>
      <c r="AS11" s="52">
        <v>220664</v>
      </c>
      <c r="AT11" s="52">
        <v>297525</v>
      </c>
      <c r="AU11" s="52">
        <v>303525</v>
      </c>
      <c r="AV11" s="52">
        <v>108563</v>
      </c>
      <c r="AW11" s="52">
        <v>163298</v>
      </c>
      <c r="AX11" s="52">
        <v>225555.88792000001</v>
      </c>
      <c r="AY11" s="52">
        <v>331254</v>
      </c>
      <c r="AZ11" s="52">
        <v>331254</v>
      </c>
      <c r="BA11" s="52">
        <v>76392</v>
      </c>
      <c r="BB11" s="52">
        <v>153878</v>
      </c>
      <c r="BC11" s="52">
        <v>236219</v>
      </c>
      <c r="BD11" s="52">
        <v>322041</v>
      </c>
      <c r="BE11" s="52">
        <v>322041</v>
      </c>
      <c r="BF11" s="52">
        <v>84764</v>
      </c>
      <c r="BG11" s="52">
        <v>866452.78</v>
      </c>
      <c r="BH11" s="52">
        <v>1054532</v>
      </c>
      <c r="BI11" s="52">
        <v>1341783</v>
      </c>
      <c r="BJ11" s="52">
        <v>1341783</v>
      </c>
      <c r="BK11" s="52">
        <v>767338</v>
      </c>
      <c r="BL11" s="52">
        <v>1048980</v>
      </c>
      <c r="BM11" s="52">
        <v>1513830</v>
      </c>
      <c r="BN11" s="52">
        <v>1939689</v>
      </c>
      <c r="BO11" s="52">
        <v>1939689</v>
      </c>
      <c r="BP11" s="52">
        <v>758686.99210000003</v>
      </c>
      <c r="BQ11" s="52">
        <v>1447875</v>
      </c>
      <c r="BR11" s="52">
        <v>2079940</v>
      </c>
      <c r="BS11" s="84">
        <v>1310280</v>
      </c>
      <c r="BT11" s="84">
        <v>1310280</v>
      </c>
      <c r="BU11" s="52">
        <v>789140</v>
      </c>
      <c r="BV11" s="52">
        <v>1289047</v>
      </c>
      <c r="BW11" s="52">
        <v>1798507</v>
      </c>
      <c r="BX11" s="84">
        <v>1625063</v>
      </c>
    </row>
    <row r="12" spans="1:76" x14ac:dyDescent="0.35">
      <c r="B12" s="23" t="s">
        <v>133</v>
      </c>
      <c r="C12" s="52"/>
      <c r="D12" s="52"/>
      <c r="E12" s="52"/>
      <c r="F12" s="52"/>
      <c r="G12" s="52"/>
      <c r="H12" s="52"/>
      <c r="I12" s="52"/>
      <c r="J12" s="52"/>
      <c r="K12" s="52"/>
      <c r="L12" s="52"/>
      <c r="M12" s="52"/>
      <c r="N12" s="52"/>
      <c r="O12" s="52"/>
      <c r="P12" s="52"/>
      <c r="Q12" s="52"/>
      <c r="R12" s="52"/>
      <c r="S12" s="52">
        <v>368839</v>
      </c>
      <c r="T12" s="52"/>
      <c r="U12" s="52">
        <v>613798</v>
      </c>
      <c r="V12" s="52">
        <v>530280</v>
      </c>
      <c r="W12" s="121"/>
      <c r="X12" s="121">
        <v>192118</v>
      </c>
      <c r="Y12" s="121">
        <v>269640</v>
      </c>
      <c r="Z12" s="121">
        <v>587792</v>
      </c>
      <c r="AA12" s="121">
        <v>587792</v>
      </c>
      <c r="AB12" s="121">
        <v>124338</v>
      </c>
      <c r="AC12" s="121">
        <v>240626</v>
      </c>
      <c r="AD12" s="121">
        <v>328988</v>
      </c>
      <c r="AE12" s="121">
        <v>169997</v>
      </c>
      <c r="AF12" s="121">
        <v>169997</v>
      </c>
      <c r="AG12" s="121">
        <v>50000</v>
      </c>
      <c r="AH12" s="121">
        <v>89693</v>
      </c>
      <c r="AI12" s="121">
        <v>116155</v>
      </c>
      <c r="AJ12" s="121">
        <v>94968</v>
      </c>
      <c r="AK12" s="121">
        <v>94968</v>
      </c>
      <c r="AL12" s="121">
        <v>23742</v>
      </c>
      <c r="AM12" s="121">
        <v>147835</v>
      </c>
      <c r="AN12" s="121">
        <v>302900</v>
      </c>
      <c r="AO12" s="121">
        <v>563488</v>
      </c>
      <c r="AP12" s="121">
        <v>563488</v>
      </c>
      <c r="AQ12" s="52">
        <v>107900</v>
      </c>
      <c r="AR12" s="52">
        <v>215326</v>
      </c>
      <c r="AS12" s="52">
        <v>460085</v>
      </c>
      <c r="AT12" s="52">
        <v>602099</v>
      </c>
      <c r="AU12" s="52">
        <v>602099</v>
      </c>
      <c r="AV12" s="52">
        <v>62000</v>
      </c>
      <c r="AW12" s="52">
        <v>29624</v>
      </c>
      <c r="AX12" s="52">
        <v>42676</v>
      </c>
      <c r="AY12" s="52">
        <v>73328</v>
      </c>
      <c r="AZ12" s="52">
        <v>73328</v>
      </c>
      <c r="BA12" s="52">
        <v>81750</v>
      </c>
      <c r="BB12" s="52">
        <v>150750</v>
      </c>
      <c r="BC12" s="52">
        <v>219750</v>
      </c>
      <c r="BD12" s="52">
        <v>358300</v>
      </c>
      <c r="BE12" s="52">
        <v>358300</v>
      </c>
      <c r="BF12" s="52">
        <v>89575</v>
      </c>
      <c r="BG12" s="52">
        <v>145199.99999000001</v>
      </c>
      <c r="BH12" s="52">
        <v>217800</v>
      </c>
      <c r="BI12" s="52">
        <v>643200</v>
      </c>
      <c r="BJ12" s="52">
        <v>643200</v>
      </c>
      <c r="BK12" s="52">
        <v>103500</v>
      </c>
      <c r="BL12" s="52">
        <v>207000</v>
      </c>
      <c r="BM12" s="52">
        <v>241425</v>
      </c>
      <c r="BN12" s="52">
        <v>321900</v>
      </c>
      <c r="BO12" s="52">
        <v>321900</v>
      </c>
      <c r="BP12" s="52">
        <v>0</v>
      </c>
      <c r="BQ12" s="52">
        <v>128382</v>
      </c>
      <c r="BR12" s="52">
        <v>192573</v>
      </c>
      <c r="BS12" s="84">
        <v>110442</v>
      </c>
      <c r="BT12" s="84">
        <v>110442</v>
      </c>
      <c r="BU12" s="52">
        <v>27610</v>
      </c>
      <c r="BV12" s="52">
        <v>55221</v>
      </c>
      <c r="BW12" s="52">
        <v>82831</v>
      </c>
      <c r="BX12" s="84">
        <v>760415</v>
      </c>
    </row>
    <row r="13" spans="1:76" x14ac:dyDescent="0.35">
      <c r="B13" s="23" t="s">
        <v>134</v>
      </c>
      <c r="C13" s="52"/>
      <c r="D13" s="52">
        <v>142161.758</v>
      </c>
      <c r="E13" s="52">
        <v>313764.27100000001</v>
      </c>
      <c r="F13" s="52">
        <v>-42028.785000000003</v>
      </c>
      <c r="G13" s="52">
        <v>-42028.785000000003</v>
      </c>
      <c r="H13" s="52"/>
      <c r="I13" s="52"/>
      <c r="J13" s="52"/>
      <c r="K13" s="52"/>
      <c r="L13" s="52">
        <v>-131920</v>
      </c>
      <c r="M13" s="52">
        <v>-122998</v>
      </c>
      <c r="N13" s="52">
        <v>317727</v>
      </c>
      <c r="O13" s="52">
        <v>531731</v>
      </c>
      <c r="P13" s="52">
        <v>-680573</v>
      </c>
      <c r="Q13" s="52">
        <v>-680573</v>
      </c>
      <c r="R13" s="52">
        <v>-3697</v>
      </c>
      <c r="S13" s="52">
        <v>-68726</v>
      </c>
      <c r="T13" s="52">
        <v>-269848</v>
      </c>
      <c r="U13" s="52">
        <v>-430494</v>
      </c>
      <c r="V13" s="52">
        <v>-430494</v>
      </c>
      <c r="W13" s="121">
        <v>-199346</v>
      </c>
      <c r="X13" s="121">
        <v>-327637</v>
      </c>
      <c r="Y13" s="121">
        <v>-371170</v>
      </c>
      <c r="Z13" s="121">
        <v>-412083</v>
      </c>
      <c r="AA13" s="121">
        <v>-412083</v>
      </c>
      <c r="AB13" s="121">
        <v>-38147</v>
      </c>
      <c r="AC13" s="121">
        <v>-64467</v>
      </c>
      <c r="AD13" s="121">
        <v>-167391</v>
      </c>
      <c r="AE13" s="121">
        <v>-263833</v>
      </c>
      <c r="AF13" s="121">
        <v>-263833</v>
      </c>
      <c r="AG13" s="121">
        <v>-118653</v>
      </c>
      <c r="AH13" s="121">
        <v>-262220</v>
      </c>
      <c r="AI13" s="121">
        <v>-374777</v>
      </c>
      <c r="AJ13" s="121">
        <v>-637929</v>
      </c>
      <c r="AK13" s="121">
        <v>-637929</v>
      </c>
      <c r="AL13" s="121">
        <v>-137880</v>
      </c>
      <c r="AM13" s="121">
        <v>-282920</v>
      </c>
      <c r="AN13" s="121">
        <v>-460885</v>
      </c>
      <c r="AO13" s="121">
        <v>-600755</v>
      </c>
      <c r="AP13" s="121">
        <v>-600755</v>
      </c>
      <c r="AQ13" s="52">
        <v>-158727</v>
      </c>
      <c r="AR13" s="52">
        <v>-308658</v>
      </c>
      <c r="AS13" s="52">
        <v>-540801</v>
      </c>
      <c r="AT13" s="52">
        <v>-648127.49180999992</v>
      </c>
      <c r="AU13" s="52">
        <v>-648127.49180999992</v>
      </c>
      <c r="AV13" s="52">
        <v>-31118</v>
      </c>
      <c r="AW13" s="52">
        <v>-153684</v>
      </c>
      <c r="AX13" s="52">
        <v>-248605.54689000006</v>
      </c>
      <c r="AY13" s="52">
        <v>-306535</v>
      </c>
      <c r="AZ13" s="52">
        <v>-306535</v>
      </c>
      <c r="BA13" s="52">
        <v>-79858</v>
      </c>
      <c r="BB13" s="52">
        <v>-108131</v>
      </c>
      <c r="BC13" s="52">
        <v>-120325</v>
      </c>
      <c r="BD13" s="52">
        <v>-154014</v>
      </c>
      <c r="BE13" s="52">
        <v>-154014</v>
      </c>
      <c r="BF13" s="52">
        <v>-38711</v>
      </c>
      <c r="BG13" s="52">
        <v>-118577.84454000001</v>
      </c>
      <c r="BH13" s="52">
        <v>-184736</v>
      </c>
      <c r="BI13" s="52">
        <v>-280541</v>
      </c>
      <c r="BJ13" s="52">
        <v>-280541</v>
      </c>
      <c r="BK13" s="52">
        <v>-95206</v>
      </c>
      <c r="BL13" s="52">
        <v>-149707</v>
      </c>
      <c r="BM13" s="52">
        <v>-207518</v>
      </c>
      <c r="BN13" s="52">
        <v>-253991</v>
      </c>
      <c r="BO13" s="52">
        <v>-253991</v>
      </c>
      <c r="BP13" s="52">
        <v>-68981.850980000017</v>
      </c>
      <c r="BQ13" s="52">
        <v>-131311</v>
      </c>
      <c r="BR13" s="52">
        <v>-200078</v>
      </c>
      <c r="BS13" s="84">
        <v>-276447</v>
      </c>
      <c r="BT13" s="84">
        <v>-276447</v>
      </c>
      <c r="BU13" s="52">
        <v>-114346</v>
      </c>
      <c r="BV13" s="52">
        <v>-160309</v>
      </c>
      <c r="BW13" s="52">
        <v>-196497</v>
      </c>
      <c r="BX13" s="84">
        <v>-328893</v>
      </c>
    </row>
    <row r="14" spans="1:76" x14ac:dyDescent="0.35">
      <c r="B14" s="29" t="s">
        <v>386</v>
      </c>
      <c r="C14" s="52"/>
      <c r="D14" s="52"/>
      <c r="E14" s="52"/>
      <c r="F14" s="52"/>
      <c r="G14" s="52"/>
      <c r="H14" s="52"/>
      <c r="I14" s="52"/>
      <c r="J14" s="52"/>
      <c r="K14" s="52"/>
      <c r="L14" s="52"/>
      <c r="M14" s="52"/>
      <c r="N14" s="52"/>
      <c r="O14" s="52"/>
      <c r="P14" s="52"/>
      <c r="Q14" s="52"/>
      <c r="R14" s="52"/>
      <c r="S14" s="52"/>
      <c r="T14" s="52"/>
      <c r="U14" s="52"/>
      <c r="V14" s="52"/>
      <c r="W14" s="121"/>
      <c r="X14" s="121"/>
      <c r="Y14" s="121"/>
      <c r="Z14" s="121"/>
      <c r="AA14" s="121"/>
      <c r="AB14" s="121"/>
      <c r="AC14" s="121"/>
      <c r="AD14" s="121"/>
      <c r="AE14" s="121"/>
      <c r="AF14" s="121"/>
      <c r="AG14" s="121"/>
      <c r="AH14" s="121"/>
      <c r="AI14" s="121"/>
      <c r="AJ14" s="121"/>
      <c r="AK14" s="121"/>
      <c r="AL14" s="121"/>
      <c r="AM14" s="121"/>
      <c r="AN14" s="121"/>
      <c r="AO14" s="121"/>
      <c r="AP14" s="121"/>
      <c r="AQ14" s="52"/>
      <c r="AR14" s="52"/>
      <c r="AS14" s="52"/>
      <c r="AT14" s="52"/>
      <c r="AU14" s="52"/>
      <c r="AV14" s="52"/>
      <c r="AW14" s="52"/>
      <c r="AX14" s="52"/>
      <c r="AY14" s="52"/>
      <c r="AZ14" s="52"/>
      <c r="BA14" s="52"/>
      <c r="BB14" s="52"/>
      <c r="BC14" s="52"/>
      <c r="BD14" s="52"/>
      <c r="BE14" s="52"/>
      <c r="BF14" s="52"/>
      <c r="BG14" s="52"/>
      <c r="BH14" s="52"/>
      <c r="BI14" s="52"/>
      <c r="BJ14" s="52"/>
      <c r="BK14" s="52"/>
      <c r="BL14" s="52"/>
      <c r="BM14" s="52">
        <v>168927</v>
      </c>
      <c r="BN14" s="52">
        <v>168927</v>
      </c>
      <c r="BO14" s="52">
        <v>168927</v>
      </c>
      <c r="BP14" s="52">
        <v>0</v>
      </c>
      <c r="BQ14" s="52">
        <v>0</v>
      </c>
      <c r="BR14" s="52">
        <v>0</v>
      </c>
      <c r="BS14" s="84">
        <v>0</v>
      </c>
      <c r="BT14" s="52">
        <v>0</v>
      </c>
      <c r="BU14" s="52">
        <v>0</v>
      </c>
      <c r="BV14" s="52">
        <v>0</v>
      </c>
      <c r="BW14" s="52">
        <v>0</v>
      </c>
      <c r="BX14" s="84">
        <v>0</v>
      </c>
    </row>
    <row r="15" spans="1:76" x14ac:dyDescent="0.35">
      <c r="B15" s="23" t="s">
        <v>135</v>
      </c>
      <c r="C15" s="52"/>
      <c r="D15" s="52"/>
      <c r="E15" s="52"/>
      <c r="F15" s="52">
        <v>2107.4589999999998</v>
      </c>
      <c r="G15" s="52">
        <v>2107.4589999999998</v>
      </c>
      <c r="H15" s="52"/>
      <c r="I15" s="52"/>
      <c r="J15" s="52"/>
      <c r="K15" s="52"/>
      <c r="L15" s="52">
        <v>185678</v>
      </c>
      <c r="M15" s="52">
        <v>84029</v>
      </c>
      <c r="N15" s="52">
        <v>326558</v>
      </c>
      <c r="O15" s="52">
        <v>441593</v>
      </c>
      <c r="P15" s="52">
        <v>757588</v>
      </c>
      <c r="Q15" s="52">
        <v>757588</v>
      </c>
      <c r="R15" s="52">
        <v>510788</v>
      </c>
      <c r="S15" s="52">
        <v>1073985</v>
      </c>
      <c r="T15" s="52">
        <v>1562215</v>
      </c>
      <c r="U15" s="52">
        <v>2019111</v>
      </c>
      <c r="V15" s="52">
        <v>2019111</v>
      </c>
      <c r="W15" s="121">
        <v>595358</v>
      </c>
      <c r="X15" s="121">
        <v>1266689</v>
      </c>
      <c r="Y15" s="121">
        <v>1951797</v>
      </c>
      <c r="Z15" s="121">
        <v>2681540</v>
      </c>
      <c r="AA15" s="121">
        <v>2681540</v>
      </c>
      <c r="AB15" s="121">
        <v>2261264</v>
      </c>
      <c r="AC15" s="121">
        <v>1693102</v>
      </c>
      <c r="AD15" s="121">
        <v>2743565</v>
      </c>
      <c r="AE15" s="121">
        <v>3826836</v>
      </c>
      <c r="AF15" s="121">
        <v>3826836</v>
      </c>
      <c r="AG15" s="121">
        <v>1121902</v>
      </c>
      <c r="AH15" s="121">
        <v>2356964</v>
      </c>
      <c r="AI15" s="121">
        <v>3581831</v>
      </c>
      <c r="AJ15" s="121">
        <v>4926629</v>
      </c>
      <c r="AK15" s="121">
        <v>4926629</v>
      </c>
      <c r="AL15" s="121">
        <v>1203666</v>
      </c>
      <c r="AM15" s="121">
        <v>2741239</v>
      </c>
      <c r="AN15" s="121">
        <v>3672684</v>
      </c>
      <c r="AO15" s="121">
        <v>4785318</v>
      </c>
      <c r="AP15" s="121">
        <v>4785318</v>
      </c>
      <c r="AQ15" s="52">
        <v>1336257</v>
      </c>
      <c r="AR15" s="52">
        <v>2770103</v>
      </c>
      <c r="AS15" s="52">
        <v>4274367</v>
      </c>
      <c r="AT15" s="52">
        <v>5690016</v>
      </c>
      <c r="AU15" s="52">
        <v>5690016</v>
      </c>
      <c r="AV15" s="52">
        <v>1644458</v>
      </c>
      <c r="AW15" s="52">
        <v>3756912</v>
      </c>
      <c r="AX15" s="52">
        <v>5848856.8758999994</v>
      </c>
      <c r="AY15" s="52">
        <v>7882981</v>
      </c>
      <c r="AZ15" s="52">
        <v>7882981</v>
      </c>
      <c r="BA15" s="52">
        <v>1962772</v>
      </c>
      <c r="BB15" s="52">
        <v>3765695</v>
      </c>
      <c r="BC15" s="52">
        <v>5617674</v>
      </c>
      <c r="BD15" s="52">
        <v>7439371</v>
      </c>
      <c r="BE15" s="52">
        <v>7439371</v>
      </c>
      <c r="BF15" s="52">
        <v>1919946</v>
      </c>
      <c r="BG15" s="52">
        <v>3915913.2330899998</v>
      </c>
      <c r="BH15" s="52">
        <v>6202330</v>
      </c>
      <c r="BI15" s="52">
        <v>8575120</v>
      </c>
      <c r="BJ15" s="52">
        <v>8575120</v>
      </c>
      <c r="BK15" s="52">
        <v>2506607</v>
      </c>
      <c r="BL15" s="52">
        <v>5019626</v>
      </c>
      <c r="BM15" s="52">
        <v>7503481</v>
      </c>
      <c r="BN15" s="52">
        <v>9975677</v>
      </c>
      <c r="BO15" s="52">
        <v>9975677</v>
      </c>
      <c r="BP15" s="52">
        <v>2642217.3580400003</v>
      </c>
      <c r="BQ15" s="52">
        <v>5263697</v>
      </c>
      <c r="BR15" s="52">
        <v>8098003</v>
      </c>
      <c r="BS15" s="84">
        <v>11078699</v>
      </c>
      <c r="BT15" s="84">
        <v>11078699</v>
      </c>
      <c r="BU15" s="52">
        <v>3117668</v>
      </c>
      <c r="BV15" s="52">
        <v>6124938</v>
      </c>
      <c r="BW15" s="52">
        <v>9076647</v>
      </c>
      <c r="BX15" s="84">
        <v>12176474</v>
      </c>
    </row>
    <row r="16" spans="1:76" x14ac:dyDescent="0.35">
      <c r="B16" s="23" t="s">
        <v>316</v>
      </c>
      <c r="C16" s="52"/>
      <c r="D16" s="52"/>
      <c r="E16" s="52"/>
      <c r="F16" s="52"/>
      <c r="G16" s="52"/>
      <c r="H16" s="52"/>
      <c r="I16" s="52"/>
      <c r="J16" s="52"/>
      <c r="K16" s="52"/>
      <c r="L16" s="52"/>
      <c r="M16" s="52"/>
      <c r="N16" s="52"/>
      <c r="O16" s="52"/>
      <c r="P16" s="52"/>
      <c r="Q16" s="52"/>
      <c r="R16" s="52"/>
      <c r="S16" s="52"/>
      <c r="T16" s="52"/>
      <c r="U16" s="52"/>
      <c r="V16" s="52"/>
      <c r="W16" s="121"/>
      <c r="X16" s="121"/>
      <c r="Y16" s="121"/>
      <c r="Z16" s="121"/>
      <c r="AA16" s="121"/>
      <c r="AB16" s="121"/>
      <c r="AC16" s="121"/>
      <c r="AD16" s="121"/>
      <c r="AE16" s="121"/>
      <c r="AF16" s="121"/>
      <c r="AG16" s="121"/>
      <c r="AH16" s="121"/>
      <c r="AI16" s="121"/>
      <c r="AJ16" s="121"/>
      <c r="AK16" s="121"/>
      <c r="AL16" s="121"/>
      <c r="AM16" s="121"/>
      <c r="AN16" s="121"/>
      <c r="AO16" s="121"/>
      <c r="AP16" s="121"/>
      <c r="AQ16" s="52"/>
      <c r="AR16" s="52"/>
      <c r="AS16" s="52"/>
      <c r="AT16" s="52"/>
      <c r="AU16" s="52"/>
      <c r="AV16" s="52"/>
      <c r="AW16" s="52"/>
      <c r="AX16" s="52"/>
      <c r="AY16" s="52"/>
      <c r="AZ16" s="52"/>
      <c r="BA16" s="52"/>
      <c r="BB16" s="52"/>
      <c r="BC16" s="52"/>
      <c r="BD16" s="52">
        <v>2984</v>
      </c>
      <c r="BE16" s="52">
        <v>2984</v>
      </c>
      <c r="BF16" s="52"/>
      <c r="BG16" s="52"/>
      <c r="BH16" s="52"/>
      <c r="BI16" s="52">
        <v>8795</v>
      </c>
      <c r="BJ16" s="52">
        <v>8795</v>
      </c>
      <c r="BK16" s="52">
        <v>0</v>
      </c>
      <c r="BL16" s="52">
        <v>0</v>
      </c>
      <c r="BM16" s="52">
        <v>0</v>
      </c>
      <c r="BN16" s="52">
        <v>-1253</v>
      </c>
      <c r="BO16" s="52">
        <v>-1253</v>
      </c>
      <c r="BP16" s="52">
        <v>0</v>
      </c>
      <c r="BQ16" s="52">
        <v>0</v>
      </c>
      <c r="BR16" s="52">
        <v>0</v>
      </c>
      <c r="BS16" s="84">
        <v>8092</v>
      </c>
      <c r="BT16" s="84">
        <v>8092</v>
      </c>
      <c r="BU16" s="52">
        <v>0</v>
      </c>
      <c r="BV16" s="52">
        <v>0</v>
      </c>
      <c r="BW16" s="52">
        <v>0</v>
      </c>
      <c r="BX16" s="84">
        <v>-6453</v>
      </c>
    </row>
    <row r="17" spans="1:76" x14ac:dyDescent="0.35">
      <c r="B17" s="23" t="s">
        <v>136</v>
      </c>
      <c r="C17" s="52"/>
      <c r="D17" s="52"/>
      <c r="E17" s="52"/>
      <c r="F17" s="52"/>
      <c r="G17" s="52"/>
      <c r="H17" s="52"/>
      <c r="I17" s="52"/>
      <c r="J17" s="52"/>
      <c r="K17" s="52"/>
      <c r="L17" s="52"/>
      <c r="M17" s="52"/>
      <c r="N17" s="52"/>
      <c r="O17" s="52"/>
      <c r="P17" s="52"/>
      <c r="Q17" s="52"/>
      <c r="R17" s="52"/>
      <c r="S17" s="52"/>
      <c r="T17" s="52"/>
      <c r="U17" s="52"/>
      <c r="V17" s="52"/>
      <c r="W17" s="121"/>
      <c r="X17" s="121" t="s">
        <v>167</v>
      </c>
      <c r="Y17" s="121"/>
      <c r="Z17" s="121" t="s">
        <v>167</v>
      </c>
      <c r="AA17" s="121" t="s">
        <v>167</v>
      </c>
      <c r="AB17" s="121" t="s">
        <v>167</v>
      </c>
      <c r="AC17" s="121">
        <v>193352</v>
      </c>
      <c r="AD17" s="121">
        <v>-942</v>
      </c>
      <c r="AE17" s="121">
        <v>46624</v>
      </c>
      <c r="AF17" s="121">
        <v>46624</v>
      </c>
      <c r="AG17" s="121">
        <v>145923</v>
      </c>
      <c r="AH17" s="121">
        <v>49939</v>
      </c>
      <c r="AI17" s="121">
        <v>342080</v>
      </c>
      <c r="AJ17" s="121">
        <v>-661611</v>
      </c>
      <c r="AK17" s="121">
        <v>-661611</v>
      </c>
      <c r="AL17" s="121">
        <v>702900</v>
      </c>
      <c r="AM17" s="121">
        <v>949879</v>
      </c>
      <c r="AN17" s="121">
        <v>581863</v>
      </c>
      <c r="AO17" s="121">
        <v>948972</v>
      </c>
      <c r="AP17" s="121">
        <v>948972</v>
      </c>
      <c r="AQ17" s="52">
        <v>-83077</v>
      </c>
      <c r="AR17" s="52">
        <v>-191875</v>
      </c>
      <c r="AS17" s="52">
        <v>-74593</v>
      </c>
      <c r="AT17" s="52">
        <v>-187580.50365999999</v>
      </c>
      <c r="AU17" s="52">
        <v>-279664</v>
      </c>
      <c r="AV17" s="52">
        <v>1829141</v>
      </c>
      <c r="AW17" s="52">
        <v>1541352</v>
      </c>
      <c r="AX17" s="52">
        <v>1201786</v>
      </c>
      <c r="AY17" s="52">
        <v>470276</v>
      </c>
      <c r="AZ17" s="52">
        <v>470276</v>
      </c>
      <c r="BA17" s="52">
        <v>43934</v>
      </c>
      <c r="BB17" s="52">
        <v>-158945</v>
      </c>
      <c r="BC17" s="52">
        <v>213152</v>
      </c>
      <c r="BD17" s="52">
        <v>133048</v>
      </c>
      <c r="BE17" s="52">
        <v>353570</v>
      </c>
      <c r="BF17" s="52">
        <v>-211976</v>
      </c>
      <c r="BG17" s="52">
        <v>-51306.736040000105</v>
      </c>
      <c r="BH17" s="52">
        <v>37162</v>
      </c>
      <c r="BI17" s="52">
        <v>99986</v>
      </c>
      <c r="BJ17" s="52">
        <v>99986</v>
      </c>
      <c r="BK17" s="52">
        <v>-108058</v>
      </c>
      <c r="BL17" s="52">
        <v>-36248</v>
      </c>
      <c r="BM17" s="52">
        <v>-191051</v>
      </c>
      <c r="BN17" s="52">
        <v>-112899</v>
      </c>
      <c r="BO17" s="52">
        <v>-112899</v>
      </c>
      <c r="BP17" s="52">
        <v>-78679.723129999998</v>
      </c>
      <c r="BQ17" s="52">
        <v>20244</v>
      </c>
      <c r="BR17" s="52">
        <v>29436</v>
      </c>
      <c r="BS17" s="84">
        <v>128058</v>
      </c>
      <c r="BT17" s="84">
        <v>128058</v>
      </c>
      <c r="BU17" s="52">
        <v>-95124</v>
      </c>
      <c r="BV17" s="52">
        <v>-54706</v>
      </c>
      <c r="BW17" s="52">
        <v>-95875</v>
      </c>
      <c r="BX17" s="84">
        <v>185180</v>
      </c>
    </row>
    <row r="18" spans="1:76" x14ac:dyDescent="0.35">
      <c r="B18" s="23" t="s">
        <v>323</v>
      </c>
      <c r="C18" s="52"/>
      <c r="D18" s="52"/>
      <c r="E18" s="52"/>
      <c r="F18" s="52"/>
      <c r="G18" s="52"/>
      <c r="H18" s="52"/>
      <c r="I18" s="52"/>
      <c r="J18" s="52"/>
      <c r="K18" s="52"/>
      <c r="L18" s="52"/>
      <c r="M18" s="52"/>
      <c r="N18" s="52"/>
      <c r="O18" s="52"/>
      <c r="P18" s="52"/>
      <c r="Q18" s="52"/>
      <c r="R18" s="52"/>
      <c r="S18" s="52"/>
      <c r="T18" s="52"/>
      <c r="U18" s="52"/>
      <c r="V18" s="52"/>
      <c r="W18" s="121"/>
      <c r="X18" s="121"/>
      <c r="Y18" s="121"/>
      <c r="Z18" s="121"/>
      <c r="AA18" s="121"/>
      <c r="AB18" s="121"/>
      <c r="AC18" s="121"/>
      <c r="AD18" s="121"/>
      <c r="AE18" s="121"/>
      <c r="AF18" s="121"/>
      <c r="AG18" s="121"/>
      <c r="AH18" s="121"/>
      <c r="AI18" s="121"/>
      <c r="AJ18" s="121"/>
      <c r="AK18" s="121"/>
      <c r="AL18" s="121"/>
      <c r="AM18" s="121"/>
      <c r="AN18" s="121"/>
      <c r="AO18" s="121"/>
      <c r="AP18" s="121"/>
      <c r="AQ18" s="52"/>
      <c r="AR18" s="52"/>
      <c r="AS18" s="52"/>
      <c r="AT18" s="52"/>
      <c r="AU18" s="52"/>
      <c r="AV18" s="52"/>
      <c r="AW18" s="52"/>
      <c r="AX18" s="52"/>
      <c r="AY18" s="52"/>
      <c r="AZ18" s="52"/>
      <c r="BA18" s="52"/>
      <c r="BB18" s="52"/>
      <c r="BC18" s="52"/>
      <c r="BD18" s="52"/>
      <c r="BE18" s="52"/>
      <c r="BF18" s="52">
        <v>37386</v>
      </c>
      <c r="BG18" s="52">
        <v>39290.579502016008</v>
      </c>
      <c r="BH18" s="52">
        <v>-57878</v>
      </c>
      <c r="BI18" s="52">
        <v>-59580</v>
      </c>
      <c r="BJ18" s="52">
        <v>-59580</v>
      </c>
      <c r="BK18" s="52">
        <v>476</v>
      </c>
      <c r="BL18" s="52">
        <v>1303</v>
      </c>
      <c r="BM18" s="52">
        <v>-42101</v>
      </c>
      <c r="BN18" s="52">
        <v>-41150</v>
      </c>
      <c r="BO18" s="52">
        <v>-41150</v>
      </c>
      <c r="BP18" s="52">
        <v>775.63725999999997</v>
      </c>
      <c r="BQ18" s="52">
        <v>3951</v>
      </c>
      <c r="BR18" s="52">
        <v>10470</v>
      </c>
      <c r="BS18" s="84">
        <v>9929</v>
      </c>
      <c r="BT18" s="84">
        <v>9929</v>
      </c>
      <c r="BU18" s="52">
        <v>979</v>
      </c>
      <c r="BV18" s="52">
        <v>-6714</v>
      </c>
      <c r="BW18" s="52">
        <v>3969</v>
      </c>
      <c r="BX18" s="84">
        <v>4145</v>
      </c>
    </row>
    <row r="19" spans="1:76" x14ac:dyDescent="0.35">
      <c r="A19" s="51"/>
      <c r="B19" s="51" t="s">
        <v>44</v>
      </c>
      <c r="C19" s="56">
        <f>C5</f>
        <v>15239.724</v>
      </c>
      <c r="D19" s="56">
        <f>SUM(D5:D17)</f>
        <v>284323.516</v>
      </c>
      <c r="E19" s="56">
        <f>SUM(E5:E17)</f>
        <v>627528.54200000002</v>
      </c>
      <c r="F19" s="56">
        <f>SUM(F5:F17)</f>
        <v>438063.84399999998</v>
      </c>
      <c r="G19" s="56">
        <f>SUM(G5:G18)</f>
        <v>438063.84399999998</v>
      </c>
      <c r="H19" s="56">
        <f t="shared" ref="H19:J19" si="0">SUM(H5:H17)</f>
        <v>59628.881999999998</v>
      </c>
      <c r="I19" s="56">
        <f t="shared" si="0"/>
        <v>277481.04500000004</v>
      </c>
      <c r="J19" s="56">
        <f t="shared" si="0"/>
        <v>1054854.612</v>
      </c>
      <c r="K19" s="56">
        <f>SUM(K5:K17)</f>
        <v>1009670</v>
      </c>
      <c r="L19" s="56">
        <f>SUM(L5:L18)</f>
        <v>1063428</v>
      </c>
      <c r="M19" s="56">
        <f t="shared" ref="M19:P19" si="1">SUM(M5:M17)</f>
        <v>525536</v>
      </c>
      <c r="N19" s="56">
        <f t="shared" si="1"/>
        <v>1927881</v>
      </c>
      <c r="O19" s="56">
        <f t="shared" si="1"/>
        <v>3133788</v>
      </c>
      <c r="P19" s="56">
        <f t="shared" si="1"/>
        <v>1353805</v>
      </c>
      <c r="Q19" s="56">
        <f>SUM(Q5:Q18)</f>
        <v>1353806</v>
      </c>
      <c r="R19" s="56">
        <v>1748071</v>
      </c>
      <c r="S19" s="56">
        <v>3170672</v>
      </c>
      <c r="T19" s="56">
        <v>4108816</v>
      </c>
      <c r="U19" s="56">
        <v>5078958</v>
      </c>
      <c r="V19" s="56">
        <f>SUM(V5:V18)</f>
        <v>5562369</v>
      </c>
      <c r="W19" s="122">
        <v>1475938</v>
      </c>
      <c r="X19" s="122">
        <v>3196842</v>
      </c>
      <c r="Y19" s="122">
        <v>5595888</v>
      </c>
      <c r="Z19" s="122">
        <v>8176927</v>
      </c>
      <c r="AA19" s="56">
        <f>SUM(AA5:AA18)</f>
        <v>8176928</v>
      </c>
      <c r="AB19" s="122">
        <v>2261264</v>
      </c>
      <c r="AC19" s="122">
        <v>4479890</v>
      </c>
      <c r="AD19" s="122">
        <v>7351040</v>
      </c>
      <c r="AE19" s="122">
        <v>9424812</v>
      </c>
      <c r="AF19" s="56">
        <f>SUM(AF5:AF18)</f>
        <v>9424812</v>
      </c>
      <c r="AG19" s="122">
        <v>2834497</v>
      </c>
      <c r="AH19" s="122">
        <v>4849928</v>
      </c>
      <c r="AI19" s="122">
        <v>8207418</v>
      </c>
      <c r="AJ19" s="122">
        <v>11241866</v>
      </c>
      <c r="AK19" s="56">
        <f>SUM(AK5:AK18)</f>
        <v>11241866</v>
      </c>
      <c r="AL19" s="122">
        <v>1735892</v>
      </c>
      <c r="AM19" s="122">
        <v>6446740</v>
      </c>
      <c r="AN19" s="122">
        <v>9958829</v>
      </c>
      <c r="AO19" s="122">
        <v>13444020</v>
      </c>
      <c r="AP19" s="56">
        <f>SUM(AP5:AP18)</f>
        <v>12480353</v>
      </c>
      <c r="AQ19" s="56">
        <v>3798881</v>
      </c>
      <c r="AR19" s="56">
        <v>7759390</v>
      </c>
      <c r="AS19" s="56">
        <v>10098788</v>
      </c>
      <c r="AT19" s="56">
        <v>15304416.00453</v>
      </c>
      <c r="AU19" s="56">
        <f>SUM(AU5:AU18)</f>
        <v>14846385.50819</v>
      </c>
      <c r="AV19" s="56">
        <f>SUM(AV5:AV17)</f>
        <v>4229534</v>
      </c>
      <c r="AW19" s="56">
        <v>7655008</v>
      </c>
      <c r="AX19" s="56">
        <f t="shared" ref="AX19:BD19" si="2">SUM(AX5:AX17)</f>
        <v>10144414.787270004</v>
      </c>
      <c r="AY19" s="56">
        <f t="shared" si="2"/>
        <v>13702118</v>
      </c>
      <c r="AZ19" s="56">
        <f>SUM(AZ5:AZ18)</f>
        <v>14041411</v>
      </c>
      <c r="BA19" s="56">
        <f t="shared" si="2"/>
        <v>3517288</v>
      </c>
      <c r="BB19" s="56">
        <f t="shared" si="2"/>
        <v>7958566.5300000003</v>
      </c>
      <c r="BC19" s="56">
        <f t="shared" si="2"/>
        <v>12057429</v>
      </c>
      <c r="BD19" s="56">
        <f t="shared" si="2"/>
        <v>17181481</v>
      </c>
      <c r="BE19" s="56">
        <f t="shared" ref="BE19:BM19" si="3">SUM(BE5:BE18)</f>
        <v>17181481</v>
      </c>
      <c r="BF19" s="56">
        <f t="shared" si="3"/>
        <v>4042401</v>
      </c>
      <c r="BG19" s="56">
        <f t="shared" si="3"/>
        <v>9249876.7889932841</v>
      </c>
      <c r="BH19" s="56">
        <f t="shared" si="3"/>
        <v>14849331</v>
      </c>
      <c r="BI19" s="56">
        <f>SUM(BI5:BI18)</f>
        <v>19358127</v>
      </c>
      <c r="BJ19" s="56">
        <f t="shared" si="3"/>
        <v>19358129</v>
      </c>
      <c r="BK19" s="56">
        <f t="shared" si="3"/>
        <v>5913961</v>
      </c>
      <c r="BL19" s="56">
        <f>SUM(BL5:BL18)</f>
        <v>10059963</v>
      </c>
      <c r="BM19" s="56">
        <f t="shared" si="3"/>
        <v>15846962.58</v>
      </c>
      <c r="BN19" s="56">
        <f>SUM(BN5:BN18)</f>
        <v>20448430</v>
      </c>
      <c r="BO19" s="56">
        <f t="shared" ref="BO19:BS19" si="4">SUM(BO5:BO18)</f>
        <v>20448430</v>
      </c>
      <c r="BP19" s="56">
        <f t="shared" si="4"/>
        <v>5987132.3612969499</v>
      </c>
      <c r="BQ19" s="56">
        <f>SUM(BQ5:BQ18)</f>
        <v>10655705</v>
      </c>
      <c r="BR19" s="56">
        <f t="shared" si="4"/>
        <v>16673036</v>
      </c>
      <c r="BS19" s="56">
        <f t="shared" si="4"/>
        <v>21247800</v>
      </c>
      <c r="BT19" s="56">
        <f t="shared" ref="BT19:BU19" si="5">SUM(BT5:BT18)</f>
        <v>21247800</v>
      </c>
      <c r="BU19" s="56">
        <f t="shared" si="5"/>
        <v>5839159</v>
      </c>
      <c r="BV19" s="56">
        <f>SUM(BV5:BV18)</f>
        <v>11298353</v>
      </c>
      <c r="BW19" s="56">
        <f t="shared" ref="BW19:BX19" si="6">SUM(BW5:BW18)</f>
        <v>16947298</v>
      </c>
      <c r="BX19" s="56">
        <f t="shared" si="6"/>
        <v>23277023</v>
      </c>
    </row>
    <row r="20" spans="1:76" x14ac:dyDescent="0.35">
      <c r="B20" s="23" t="s">
        <v>137</v>
      </c>
      <c r="C20" s="47"/>
      <c r="D20" s="47"/>
      <c r="E20" s="47"/>
      <c r="F20" s="47"/>
      <c r="G20" s="47"/>
      <c r="H20" s="47"/>
      <c r="I20" s="47"/>
      <c r="J20" s="47"/>
      <c r="K20" s="47"/>
      <c r="L20" s="47"/>
      <c r="M20" s="47"/>
      <c r="N20" s="47"/>
      <c r="O20" s="47"/>
      <c r="P20" s="47"/>
      <c r="Q20" s="47"/>
      <c r="R20" s="47"/>
      <c r="S20" s="47"/>
      <c r="T20" s="47"/>
      <c r="U20" s="47"/>
      <c r="V20" s="47"/>
      <c r="W20" s="123"/>
      <c r="X20" s="123"/>
      <c r="Y20" s="123"/>
      <c r="Z20" s="123"/>
      <c r="AA20" s="123"/>
      <c r="AB20" s="123"/>
      <c r="AC20" s="123"/>
      <c r="AD20" s="123"/>
      <c r="AE20" s="123"/>
      <c r="AF20" s="123"/>
      <c r="AG20" s="123"/>
      <c r="AH20" s="123"/>
      <c r="AI20" s="123"/>
      <c r="AJ20" s="123"/>
      <c r="AK20" s="123"/>
      <c r="AL20" s="123"/>
      <c r="AM20" s="123"/>
      <c r="AN20" s="123"/>
      <c r="AO20" s="123"/>
      <c r="AP20" s="123"/>
      <c r="AQ20" s="47"/>
      <c r="AR20" s="47"/>
      <c r="AS20" s="47"/>
      <c r="AT20" s="47"/>
      <c r="AU20" s="47"/>
      <c r="AV20" s="47"/>
      <c r="AW20" s="47"/>
      <c r="AX20" s="47"/>
      <c r="AY20" s="47"/>
      <c r="AZ20" s="47"/>
      <c r="BA20" s="47"/>
      <c r="BB20" s="47"/>
      <c r="BC20" s="47"/>
      <c r="BD20" s="47"/>
      <c r="BE20" s="47"/>
      <c r="BF20" s="47"/>
      <c r="BG20" s="47"/>
      <c r="BH20" s="47"/>
      <c r="BI20" s="47"/>
      <c r="BJ20" s="47"/>
      <c r="BK20" s="47"/>
      <c r="BL20" s="47"/>
      <c r="BM20" s="47"/>
      <c r="BN20" s="47"/>
      <c r="BO20" s="47"/>
      <c r="BP20" s="47"/>
      <c r="BQ20" s="47"/>
      <c r="BR20" s="47"/>
      <c r="BS20" s="47"/>
      <c r="BT20" s="47"/>
      <c r="BU20" s="47"/>
      <c r="BV20" s="47"/>
      <c r="BW20" s="47"/>
      <c r="BX20" s="47"/>
    </row>
    <row r="21" spans="1:76" x14ac:dyDescent="0.35">
      <c r="B21" s="23" t="s">
        <v>138</v>
      </c>
      <c r="C21" s="54"/>
      <c r="D21" s="54"/>
      <c r="E21" s="54"/>
      <c r="F21" s="54"/>
      <c r="G21" s="54"/>
      <c r="H21" s="54"/>
      <c r="I21" s="54"/>
      <c r="J21" s="54"/>
      <c r="K21" s="54"/>
      <c r="L21" s="54"/>
      <c r="M21" s="54"/>
      <c r="N21" s="54"/>
      <c r="O21" s="54"/>
      <c r="P21" s="54"/>
      <c r="Q21" s="54"/>
      <c r="R21" s="54"/>
      <c r="S21" s="54"/>
      <c r="T21" s="54"/>
      <c r="U21" s="54"/>
      <c r="V21" s="54"/>
      <c r="W21" s="55"/>
      <c r="X21" s="55"/>
      <c r="Y21" s="55"/>
      <c r="Z21" s="55"/>
      <c r="AA21" s="55"/>
      <c r="AB21" s="55"/>
      <c r="AC21" s="55"/>
      <c r="AD21" s="55"/>
      <c r="AE21" s="55"/>
      <c r="AF21" s="55"/>
      <c r="AG21" s="55"/>
      <c r="AH21" s="55"/>
      <c r="AI21" s="55"/>
      <c r="AJ21" s="55"/>
      <c r="AK21" s="55"/>
      <c r="AL21" s="55"/>
      <c r="AM21" s="55"/>
      <c r="AN21" s="55"/>
      <c r="AO21" s="55"/>
      <c r="AP21" s="55"/>
      <c r="AQ21" s="54"/>
      <c r="AR21" s="54"/>
      <c r="AS21" s="54"/>
      <c r="AT21" s="54"/>
      <c r="AU21" s="54"/>
      <c r="AV21" s="54"/>
      <c r="AW21" s="54"/>
      <c r="AX21" s="54"/>
      <c r="AY21" s="54"/>
      <c r="AZ21" s="54"/>
      <c r="BA21" s="54"/>
      <c r="BB21" s="54"/>
      <c r="BC21" s="54"/>
      <c r="BD21" s="54"/>
      <c r="BE21" s="54"/>
      <c r="BF21" s="54"/>
      <c r="BG21" s="54"/>
      <c r="BH21" s="54"/>
      <c r="BI21" s="54"/>
      <c r="BJ21" s="54"/>
      <c r="BK21" s="54"/>
      <c r="BL21" s="54"/>
      <c r="BM21" s="54"/>
      <c r="BN21" s="54"/>
      <c r="BO21" s="54"/>
      <c r="BP21" s="54"/>
      <c r="BQ21" s="54"/>
      <c r="BR21" s="54"/>
      <c r="BS21" s="54"/>
      <c r="BT21" s="54"/>
      <c r="BU21" s="54"/>
      <c r="BV21" s="54"/>
      <c r="BW21" s="54"/>
      <c r="BX21" s="54"/>
    </row>
    <row r="22" spans="1:76" x14ac:dyDescent="0.35">
      <c r="B22" s="23" t="s">
        <v>139</v>
      </c>
      <c r="C22" s="55"/>
      <c r="D22" s="55">
        <v>-9756.2039999999997</v>
      </c>
      <c r="E22" s="55">
        <v>-31481.550999999999</v>
      </c>
      <c r="F22" s="55">
        <v>-68881.77</v>
      </c>
      <c r="G22" s="55">
        <v>-68881.77</v>
      </c>
      <c r="H22" s="55">
        <v>-28594.582999999999</v>
      </c>
      <c r="I22" s="55">
        <v>5131.1450000000004</v>
      </c>
      <c r="J22" s="55">
        <v>-21183.853999999999</v>
      </c>
      <c r="K22" s="55">
        <v>-60612</v>
      </c>
      <c r="L22" s="55">
        <v>-89889</v>
      </c>
      <c r="M22" s="55">
        <v>3322</v>
      </c>
      <c r="N22" s="55">
        <v>58441</v>
      </c>
      <c r="O22" s="55">
        <v>183672</v>
      </c>
      <c r="P22" s="55">
        <v>-573677</v>
      </c>
      <c r="Q22" s="55">
        <v>-573677</v>
      </c>
      <c r="R22" s="55">
        <v>12242</v>
      </c>
      <c r="S22" s="55">
        <v>-546977</v>
      </c>
      <c r="T22" s="55">
        <v>-610776</v>
      </c>
      <c r="U22" s="55">
        <v>-31275</v>
      </c>
      <c r="V22" s="55">
        <v>-31275</v>
      </c>
      <c r="W22" s="55">
        <v>-150626</v>
      </c>
      <c r="X22" s="55">
        <v>-153748</v>
      </c>
      <c r="Y22" s="55">
        <v>-240121</v>
      </c>
      <c r="Z22" s="55">
        <v>-87843</v>
      </c>
      <c r="AA22" s="55">
        <v>-34146</v>
      </c>
      <c r="AB22" s="55">
        <v>-105332</v>
      </c>
      <c r="AC22" s="55">
        <v>-251690</v>
      </c>
      <c r="AD22" s="55">
        <v>-314908</v>
      </c>
      <c r="AE22" s="55">
        <v>-277581</v>
      </c>
      <c r="AF22" s="55">
        <v>-277581</v>
      </c>
      <c r="AG22" s="55">
        <v>-205132</v>
      </c>
      <c r="AH22" s="55">
        <v>-231196</v>
      </c>
      <c r="AI22" s="55">
        <v>-191277</v>
      </c>
      <c r="AJ22" s="55">
        <v>-573268</v>
      </c>
      <c r="AK22" s="55">
        <v>-458466</v>
      </c>
      <c r="AL22" s="55">
        <v>77089</v>
      </c>
      <c r="AM22" s="55">
        <v>-135719</v>
      </c>
      <c r="AN22" s="55">
        <v>70599</v>
      </c>
      <c r="AO22" s="55">
        <v>169733</v>
      </c>
      <c r="AP22" s="55">
        <v>140903</v>
      </c>
      <c r="AQ22" s="55">
        <v>360299</v>
      </c>
      <c r="AR22" s="55">
        <v>-420533</v>
      </c>
      <c r="AS22" s="55">
        <v>-340653</v>
      </c>
      <c r="AT22" s="55">
        <v>-180075</v>
      </c>
      <c r="AU22" s="55">
        <v>-180075</v>
      </c>
      <c r="AV22" s="55">
        <v>-469963</v>
      </c>
      <c r="AW22" s="55">
        <v>-801069</v>
      </c>
      <c r="AX22" s="55">
        <v>-780285</v>
      </c>
      <c r="AY22" s="55">
        <v>-124138</v>
      </c>
      <c r="AZ22" s="55">
        <v>-124138</v>
      </c>
      <c r="BA22" s="55">
        <v>-652826</v>
      </c>
      <c r="BB22" s="55">
        <v>-581383</v>
      </c>
      <c r="BC22" s="55">
        <v>-1080865</v>
      </c>
      <c r="BD22" s="55">
        <v>-351172</v>
      </c>
      <c r="BE22" s="55">
        <v>-351172</v>
      </c>
      <c r="BF22" s="55">
        <v>-408010</v>
      </c>
      <c r="BG22" s="55">
        <v>-383537.96282776585</v>
      </c>
      <c r="BH22" s="55">
        <v>-508275</v>
      </c>
      <c r="BI22" s="55">
        <v>-499835</v>
      </c>
      <c r="BJ22" s="55">
        <v>-499835</v>
      </c>
      <c r="BK22" s="55">
        <v>-35095</v>
      </c>
      <c r="BL22" s="55">
        <v>-195491</v>
      </c>
      <c r="BM22" s="55">
        <v>-466876</v>
      </c>
      <c r="BN22" s="55">
        <v>-852321</v>
      </c>
      <c r="BO22" s="55">
        <v>-852321</v>
      </c>
      <c r="BP22" s="55">
        <v>-217640</v>
      </c>
      <c r="BQ22" s="55">
        <v>-316682</v>
      </c>
      <c r="BR22" s="55">
        <v>-590928</v>
      </c>
      <c r="BS22" s="127">
        <v>-1183247</v>
      </c>
      <c r="BT22" s="127">
        <v>-1183247</v>
      </c>
      <c r="BU22" s="55">
        <v>-15514</v>
      </c>
      <c r="BV22" s="55">
        <v>-194504</v>
      </c>
      <c r="BW22" s="55">
        <v>-353251</v>
      </c>
      <c r="BX22" s="127">
        <v>-461635</v>
      </c>
    </row>
    <row r="23" spans="1:76" x14ac:dyDescent="0.35">
      <c r="B23" s="23" t="s">
        <v>115</v>
      </c>
      <c r="C23" s="54"/>
      <c r="D23" s="54"/>
      <c r="E23" s="54"/>
      <c r="F23" s="54"/>
      <c r="G23" s="54"/>
      <c r="H23" s="54"/>
      <c r="I23" s="54"/>
      <c r="J23" s="54"/>
      <c r="K23" s="54"/>
      <c r="L23" s="54">
        <v>-11278</v>
      </c>
      <c r="M23" s="54"/>
      <c r="N23" s="54"/>
      <c r="O23" s="54"/>
      <c r="P23" s="54"/>
      <c r="Q23" s="54"/>
      <c r="R23" s="54"/>
      <c r="S23" s="54"/>
      <c r="T23" s="54"/>
      <c r="U23" s="54"/>
      <c r="V23" s="54"/>
      <c r="W23" s="55"/>
      <c r="X23" s="55">
        <v>56070</v>
      </c>
      <c r="Y23" s="55">
        <v>44841</v>
      </c>
      <c r="Z23" s="55">
        <v>53697</v>
      </c>
      <c r="AA23" s="55">
        <v>0</v>
      </c>
      <c r="AB23" s="55">
        <v>-2964</v>
      </c>
      <c r="AC23" s="55">
        <v>3925</v>
      </c>
      <c r="AD23" s="55">
        <v>4936</v>
      </c>
      <c r="AE23" s="55">
        <v>-434844</v>
      </c>
      <c r="AF23" s="55">
        <v>-434844</v>
      </c>
      <c r="AG23" s="55">
        <v>-18451</v>
      </c>
      <c r="AH23" s="55">
        <v>-313932</v>
      </c>
      <c r="AI23" s="55">
        <v>-64764</v>
      </c>
      <c r="AJ23" s="55">
        <v>-80045</v>
      </c>
      <c r="AK23" s="55">
        <v>-80045</v>
      </c>
      <c r="AL23" s="55">
        <v>-26284</v>
      </c>
      <c r="AM23" s="55">
        <v>208325</v>
      </c>
      <c r="AN23" s="55">
        <v>186491</v>
      </c>
      <c r="AO23" s="55">
        <v>180670</v>
      </c>
      <c r="AP23" s="55">
        <v>180670</v>
      </c>
      <c r="AQ23" s="54">
        <v>414757</v>
      </c>
      <c r="AR23" s="54">
        <v>-279106</v>
      </c>
      <c r="AS23" s="54">
        <v>-471674</v>
      </c>
      <c r="AT23" s="54">
        <v>-896307</v>
      </c>
      <c r="AU23" s="54">
        <v>-922546</v>
      </c>
      <c r="AV23" s="54">
        <v>-57532</v>
      </c>
      <c r="AW23" s="54">
        <v>-215942</v>
      </c>
      <c r="AX23" s="54">
        <v>-213714</v>
      </c>
      <c r="AY23" s="54">
        <v>-467829</v>
      </c>
      <c r="AZ23" s="54">
        <v>-467830</v>
      </c>
      <c r="BA23" s="54">
        <v>-135909</v>
      </c>
      <c r="BB23" s="54">
        <v>-104988</v>
      </c>
      <c r="BC23" s="54">
        <v>119775</v>
      </c>
      <c r="BD23" s="54">
        <v>-256970</v>
      </c>
      <c r="BE23" s="54">
        <v>-256970</v>
      </c>
      <c r="BF23" s="54">
        <v>-87911</v>
      </c>
      <c r="BG23" s="54">
        <v>-48493.674088608765</v>
      </c>
      <c r="BH23" s="54">
        <v>-94176</v>
      </c>
      <c r="BI23" s="54">
        <v>-164486</v>
      </c>
      <c r="BJ23" s="54">
        <v>-164486</v>
      </c>
      <c r="BK23" s="54">
        <v>-13754</v>
      </c>
      <c r="BL23" s="54">
        <v>-22303</v>
      </c>
      <c r="BM23" s="54">
        <v>-74465</v>
      </c>
      <c r="BN23" s="54">
        <v>278407</v>
      </c>
      <c r="BO23" s="54">
        <v>278407</v>
      </c>
      <c r="BP23" s="54">
        <v>-43194</v>
      </c>
      <c r="BQ23" s="54">
        <v>-233242</v>
      </c>
      <c r="BR23" s="54">
        <v>-78131</v>
      </c>
      <c r="BS23" s="127">
        <v>335844</v>
      </c>
      <c r="BT23" s="127">
        <v>335844</v>
      </c>
      <c r="BU23" s="54">
        <v>9914</v>
      </c>
      <c r="BV23" s="54">
        <v>-25270</v>
      </c>
      <c r="BW23" s="54">
        <v>-27080</v>
      </c>
      <c r="BX23" s="127">
        <v>-173650</v>
      </c>
    </row>
    <row r="24" spans="1:76" x14ac:dyDescent="0.35">
      <c r="B24" s="23" t="s">
        <v>140</v>
      </c>
      <c r="C24" s="54"/>
      <c r="D24" s="54"/>
      <c r="E24" s="54"/>
      <c r="F24" s="54"/>
      <c r="G24" s="54"/>
      <c r="H24" s="54"/>
      <c r="I24" s="54"/>
      <c r="J24" s="54"/>
      <c r="K24" s="54"/>
      <c r="L24" s="54"/>
      <c r="M24" s="54"/>
      <c r="N24" s="54">
        <v>3394</v>
      </c>
      <c r="O24" s="54">
        <v>214895</v>
      </c>
      <c r="P24" s="54">
        <v>-84464</v>
      </c>
      <c r="Q24" s="54">
        <v>-114331</v>
      </c>
      <c r="R24" s="54">
        <v>68666</v>
      </c>
      <c r="S24" s="54">
        <v>10158</v>
      </c>
      <c r="T24" s="54">
        <v>125609</v>
      </c>
      <c r="U24" s="54">
        <v>125609</v>
      </c>
      <c r="V24" s="54">
        <v>125609</v>
      </c>
      <c r="W24" s="55" t="s">
        <v>167</v>
      </c>
      <c r="X24" s="55" t="s">
        <v>167</v>
      </c>
      <c r="Y24" s="55"/>
      <c r="Z24" s="55" t="s">
        <v>167</v>
      </c>
      <c r="AA24" s="55" t="s">
        <v>167</v>
      </c>
      <c r="AB24" s="55" t="s">
        <v>167</v>
      </c>
      <c r="AC24" s="55" t="s">
        <v>167</v>
      </c>
      <c r="AD24" s="55"/>
      <c r="AE24" s="55">
        <v>-80293</v>
      </c>
      <c r="AF24" s="55">
        <v>-80293</v>
      </c>
      <c r="AG24" s="55">
        <v>-3621</v>
      </c>
      <c r="AH24" s="55">
        <v>-67664</v>
      </c>
      <c r="AI24" s="55">
        <v>19329</v>
      </c>
      <c r="AJ24" s="55">
        <v>19781</v>
      </c>
      <c r="AK24" s="55">
        <v>19781</v>
      </c>
      <c r="AL24" s="55">
        <v>5261</v>
      </c>
      <c r="AM24" s="55">
        <v>3611</v>
      </c>
      <c r="AN24" s="55">
        <v>-31861</v>
      </c>
      <c r="AO24" s="55">
        <v>7145</v>
      </c>
      <c r="AP24" s="55">
        <v>7145</v>
      </c>
      <c r="AQ24" s="54">
        <v>43170</v>
      </c>
      <c r="AR24" s="54">
        <v>46299</v>
      </c>
      <c r="AS24" s="54">
        <v>42185</v>
      </c>
      <c r="AT24" s="54">
        <v>11368</v>
      </c>
      <c r="AU24" s="54">
        <v>11368</v>
      </c>
      <c r="AV24" s="54">
        <v>10779</v>
      </c>
      <c r="AW24" s="54">
        <v>22430</v>
      </c>
      <c r="AX24" s="54">
        <v>38667</v>
      </c>
      <c r="AY24" s="54">
        <v>33521</v>
      </c>
      <c r="AZ24" s="54">
        <v>33521</v>
      </c>
      <c r="BA24" s="54">
        <v>-348</v>
      </c>
      <c r="BB24" s="54">
        <v>4064</v>
      </c>
      <c r="BC24" s="54">
        <v>4110</v>
      </c>
      <c r="BD24" s="54">
        <v>5633</v>
      </c>
      <c r="BE24" s="54">
        <v>5633</v>
      </c>
      <c r="BF24" s="54">
        <v>-6229</v>
      </c>
      <c r="BG24" s="54">
        <v>-6402.0391399999971</v>
      </c>
      <c r="BH24" s="54">
        <v>-1932</v>
      </c>
      <c r="BI24" s="54">
        <v>-3931</v>
      </c>
      <c r="BJ24" s="54">
        <v>-3931</v>
      </c>
      <c r="BK24" s="54">
        <v>-246</v>
      </c>
      <c r="BL24" s="54">
        <v>-1714</v>
      </c>
      <c r="BM24" s="54">
        <v>-1605</v>
      </c>
      <c r="BN24" s="54">
        <v>-19171</v>
      </c>
      <c r="BO24" s="54">
        <v>-19171</v>
      </c>
      <c r="BP24" s="54">
        <v>-2561</v>
      </c>
      <c r="BQ24" s="54">
        <v>-1049</v>
      </c>
      <c r="BR24" s="54">
        <v>-70442</v>
      </c>
      <c r="BS24" s="127">
        <v>5896</v>
      </c>
      <c r="BT24" s="127">
        <v>5896</v>
      </c>
      <c r="BU24" s="54">
        <v>-204270</v>
      </c>
      <c r="BV24" s="54">
        <v>-269214</v>
      </c>
      <c r="BW24" s="54">
        <v>-226873</v>
      </c>
      <c r="BX24" s="127">
        <v>-534953</v>
      </c>
    </row>
    <row r="25" spans="1:76" x14ac:dyDescent="0.35">
      <c r="B25" s="23" t="s">
        <v>141</v>
      </c>
      <c r="C25" s="54">
        <v>-49566.191000000006</v>
      </c>
      <c r="D25" s="54">
        <v>-1018963.334</v>
      </c>
      <c r="E25" s="54">
        <v>-1010437.409</v>
      </c>
      <c r="F25" s="54">
        <v>-471634.95299999998</v>
      </c>
      <c r="G25" s="54">
        <v>-471634.95299999998</v>
      </c>
      <c r="H25" s="54">
        <v>-45078.462</v>
      </c>
      <c r="I25" s="54">
        <v>-384293.902</v>
      </c>
      <c r="J25" s="54">
        <v>-1204151.3119999999</v>
      </c>
      <c r="K25" s="54">
        <v>-1076384</v>
      </c>
      <c r="L25" s="54">
        <v>-1076384</v>
      </c>
      <c r="M25" s="54">
        <v>-131254</v>
      </c>
      <c r="N25" s="54">
        <v>231765</v>
      </c>
      <c r="O25" s="54">
        <v>353231</v>
      </c>
      <c r="P25" s="54">
        <v>-2187983</v>
      </c>
      <c r="Q25" s="54">
        <v>-388340</v>
      </c>
      <c r="R25" s="54">
        <v>-249056</v>
      </c>
      <c r="S25" s="54">
        <v>2038179</v>
      </c>
      <c r="T25" s="54">
        <v>773663</v>
      </c>
      <c r="U25" s="54">
        <v>653489</v>
      </c>
      <c r="V25" s="54">
        <v>653489</v>
      </c>
      <c r="W25" s="55">
        <v>541570</v>
      </c>
      <c r="X25" s="55">
        <v>-941019</v>
      </c>
      <c r="Y25" s="55">
        <v>-941019</v>
      </c>
      <c r="Z25" s="55">
        <v>-1079249</v>
      </c>
      <c r="AA25" s="55">
        <v>-1079249</v>
      </c>
      <c r="AB25" s="55">
        <v>1165985</v>
      </c>
      <c r="AC25" s="55">
        <v>1145774</v>
      </c>
      <c r="AD25" s="55">
        <v>1774459</v>
      </c>
      <c r="AE25" s="55">
        <v>2020066</v>
      </c>
      <c r="AF25" s="55">
        <v>2020066</v>
      </c>
      <c r="AG25" s="55">
        <v>185754</v>
      </c>
      <c r="AH25" s="55">
        <v>333607</v>
      </c>
      <c r="AI25" s="55">
        <v>577283</v>
      </c>
      <c r="AJ25" s="55">
        <v>-1176602</v>
      </c>
      <c r="AK25" s="55">
        <v>-1176602</v>
      </c>
      <c r="AL25" s="55">
        <v>277719</v>
      </c>
      <c r="AM25" s="55">
        <v>351847</v>
      </c>
      <c r="AN25" s="55">
        <v>476710</v>
      </c>
      <c r="AO25" s="55">
        <v>402857</v>
      </c>
      <c r="AP25" s="55">
        <v>402857</v>
      </c>
      <c r="AQ25" s="54">
        <v>84230</v>
      </c>
      <c r="AR25" s="54">
        <v>220370</v>
      </c>
      <c r="AS25" s="54">
        <v>367003</v>
      </c>
      <c r="AT25" s="54">
        <v>-1212446</v>
      </c>
      <c r="AU25" s="54">
        <v>-1212446</v>
      </c>
      <c r="AV25" s="54">
        <v>456891</v>
      </c>
      <c r="AW25" s="54">
        <v>574293</v>
      </c>
      <c r="AX25" s="54">
        <v>494886</v>
      </c>
      <c r="AY25" s="54">
        <v>833882</v>
      </c>
      <c r="AZ25" s="54">
        <v>833882</v>
      </c>
      <c r="BA25" s="54">
        <v>266602</v>
      </c>
      <c r="BB25" s="54">
        <v>664716</v>
      </c>
      <c r="BC25" s="54">
        <v>1330084</v>
      </c>
      <c r="BD25" s="54">
        <v>2148248</v>
      </c>
      <c r="BE25" s="54">
        <v>2148248</v>
      </c>
      <c r="BF25" s="54">
        <v>502041</v>
      </c>
      <c r="BG25" s="54">
        <v>394898.62995634496</v>
      </c>
      <c r="BH25" s="54">
        <v>262952</v>
      </c>
      <c r="BI25" s="54">
        <v>180557</v>
      </c>
      <c r="BJ25" s="54">
        <v>180557</v>
      </c>
      <c r="BK25" s="54">
        <v>545227</v>
      </c>
      <c r="BL25" s="54">
        <v>434476</v>
      </c>
      <c r="BM25" s="54">
        <v>298207</v>
      </c>
      <c r="BN25" s="54">
        <v>325808</v>
      </c>
      <c r="BO25" s="54">
        <v>325808</v>
      </c>
      <c r="BP25" s="54">
        <v>50379</v>
      </c>
      <c r="BQ25" s="54">
        <v>147225</v>
      </c>
      <c r="BR25" s="54">
        <v>188722</v>
      </c>
      <c r="BS25" s="127">
        <v>98673</v>
      </c>
      <c r="BT25" s="127">
        <v>98673</v>
      </c>
      <c r="BU25" s="54">
        <v>34442</v>
      </c>
      <c r="BV25" s="54">
        <v>141498</v>
      </c>
      <c r="BW25" s="54">
        <v>176835</v>
      </c>
      <c r="BX25" s="127">
        <v>-3180811</v>
      </c>
    </row>
    <row r="26" spans="1:76" x14ac:dyDescent="0.35">
      <c r="B26" s="23" t="s">
        <v>142</v>
      </c>
      <c r="C26" s="54"/>
      <c r="D26" s="54"/>
      <c r="E26" s="54"/>
      <c r="F26" s="54">
        <v>-7206.3130000000001</v>
      </c>
      <c r="G26" s="54">
        <v>-7206.3130000000001</v>
      </c>
      <c r="H26" s="54"/>
      <c r="I26" s="54">
        <v>1495.28</v>
      </c>
      <c r="J26" s="54">
        <v>-15898.251</v>
      </c>
      <c r="K26" s="54">
        <v>-11873</v>
      </c>
      <c r="L26" s="54">
        <v>-11873</v>
      </c>
      <c r="M26" s="54">
        <v>-20798</v>
      </c>
      <c r="N26" s="54">
        <v>19256</v>
      </c>
      <c r="O26" s="54">
        <v>2432</v>
      </c>
      <c r="P26" s="54">
        <v>1368</v>
      </c>
      <c r="Q26" s="54">
        <v>1368</v>
      </c>
      <c r="R26" s="54">
        <v>-142920</v>
      </c>
      <c r="S26" s="54">
        <v>-81579</v>
      </c>
      <c r="T26" s="54">
        <v>-58315</v>
      </c>
      <c r="U26" s="54">
        <v>-153973</v>
      </c>
      <c r="V26" s="54">
        <v>-153973</v>
      </c>
      <c r="W26" s="55">
        <v>-310205</v>
      </c>
      <c r="X26" s="55">
        <v>-285777</v>
      </c>
      <c r="Y26" s="55">
        <v>-201244</v>
      </c>
      <c r="Z26" s="55">
        <v>-315021</v>
      </c>
      <c r="AA26" s="55">
        <v>-315021</v>
      </c>
      <c r="AB26" s="55">
        <v>-59422</v>
      </c>
      <c r="AC26" s="55">
        <v>-38319</v>
      </c>
      <c r="AD26" s="55">
        <v>96895</v>
      </c>
      <c r="AE26" s="55">
        <v>28943</v>
      </c>
      <c r="AF26" s="55">
        <v>28943</v>
      </c>
      <c r="AG26" s="55">
        <v>-620690</v>
      </c>
      <c r="AH26" s="55">
        <v>-541872</v>
      </c>
      <c r="AI26" s="55">
        <v>-400791</v>
      </c>
      <c r="AJ26" s="55">
        <v>-980704</v>
      </c>
      <c r="AK26" s="55">
        <v>-980704</v>
      </c>
      <c r="AL26" s="55">
        <v>-327396</v>
      </c>
      <c r="AM26" s="55">
        <v>-343886</v>
      </c>
      <c r="AN26" s="55">
        <v>-354663</v>
      </c>
      <c r="AO26" s="55">
        <v>-303287</v>
      </c>
      <c r="AP26" s="55">
        <v>-303287</v>
      </c>
      <c r="AQ26" s="54">
        <v>324203</v>
      </c>
      <c r="AR26" s="54">
        <v>-781465</v>
      </c>
      <c r="AS26" s="54">
        <v>-845792</v>
      </c>
      <c r="AT26" s="54">
        <v>-1309962</v>
      </c>
      <c r="AU26" s="54">
        <v>-411360</v>
      </c>
      <c r="AV26" s="54">
        <v>-396195</v>
      </c>
      <c r="AW26" s="54">
        <v>-284803</v>
      </c>
      <c r="AX26" s="54">
        <v>-64821.887920000008</v>
      </c>
      <c r="AY26" s="54">
        <v>109457</v>
      </c>
      <c r="AZ26" s="54">
        <v>109457</v>
      </c>
      <c r="BA26" s="54">
        <v>-365852</v>
      </c>
      <c r="BB26" s="54">
        <v>-909504</v>
      </c>
      <c r="BC26" s="54">
        <v>-978519</v>
      </c>
      <c r="BD26" s="54">
        <v>-1405020</v>
      </c>
      <c r="BE26" s="54">
        <v>-1405020</v>
      </c>
      <c r="BF26" s="54">
        <v>-98008</v>
      </c>
      <c r="BG26" s="54">
        <v>-738840.90176344826</v>
      </c>
      <c r="BH26" s="54">
        <v>-950983</v>
      </c>
      <c r="BI26" s="54">
        <v>-997056</v>
      </c>
      <c r="BJ26" s="54">
        <v>-997056</v>
      </c>
      <c r="BK26" s="54">
        <v>-642881</v>
      </c>
      <c r="BL26" s="54">
        <v>-1048332</v>
      </c>
      <c r="BM26" s="54">
        <v>-1887840</v>
      </c>
      <c r="BN26" s="54">
        <v>-1672245</v>
      </c>
      <c r="BO26" s="54">
        <v>-1672245</v>
      </c>
      <c r="BP26" s="54">
        <v>-1127370</v>
      </c>
      <c r="BQ26" s="54">
        <v>-983796</v>
      </c>
      <c r="BR26" s="54">
        <v>-1200618</v>
      </c>
      <c r="BS26" s="127">
        <v>265778</v>
      </c>
      <c r="BT26" s="127">
        <v>265778</v>
      </c>
      <c r="BU26" s="54">
        <v>-727516</v>
      </c>
      <c r="BV26" s="54">
        <v>-614609</v>
      </c>
      <c r="BW26" s="54">
        <v>-1260117</v>
      </c>
      <c r="BX26" s="127">
        <v>-1145902</v>
      </c>
    </row>
    <row r="27" spans="1:76" x14ac:dyDescent="0.35">
      <c r="B27" s="23" t="s">
        <v>143</v>
      </c>
      <c r="C27" s="54"/>
      <c r="D27" s="54"/>
      <c r="E27" s="54"/>
      <c r="F27" s="54"/>
      <c r="G27" s="54"/>
      <c r="H27" s="54"/>
      <c r="I27" s="54"/>
      <c r="J27" s="54"/>
      <c r="K27" s="54"/>
      <c r="L27" s="54"/>
      <c r="M27" s="54"/>
      <c r="N27" s="54"/>
      <c r="O27" s="54"/>
      <c r="P27" s="54"/>
      <c r="Q27" s="54"/>
      <c r="R27" s="54"/>
      <c r="S27" s="54"/>
      <c r="T27" s="54"/>
      <c r="U27" s="54"/>
      <c r="V27" s="54"/>
      <c r="W27" s="55"/>
      <c r="X27" s="55"/>
      <c r="Y27" s="55"/>
      <c r="Z27" s="55"/>
      <c r="AA27" s="55"/>
      <c r="AB27" s="55"/>
      <c r="AC27" s="55"/>
      <c r="AD27" s="55"/>
      <c r="AE27" s="55"/>
      <c r="AF27" s="55"/>
      <c r="AG27" s="55"/>
      <c r="AH27" s="55"/>
      <c r="AI27" s="55"/>
      <c r="AJ27" s="55"/>
      <c r="AK27" s="55"/>
      <c r="AL27" s="55"/>
      <c r="AM27" s="55"/>
      <c r="AN27" s="55"/>
      <c r="AO27" s="55"/>
      <c r="AP27" s="55"/>
      <c r="AQ27" s="54"/>
      <c r="AR27" s="54"/>
      <c r="AS27" s="54"/>
      <c r="AT27" s="54"/>
      <c r="AU27" s="54"/>
      <c r="AV27" s="54"/>
      <c r="AW27" s="54"/>
      <c r="AX27" s="54"/>
      <c r="AY27" s="54"/>
      <c r="AZ27" s="54"/>
      <c r="BA27" s="54"/>
      <c r="BB27" s="54"/>
      <c r="BC27" s="54"/>
      <c r="BD27" s="54"/>
      <c r="BE27" s="54"/>
      <c r="BF27" s="54"/>
      <c r="BG27" s="54"/>
      <c r="BH27" s="54"/>
      <c r="BI27" s="54"/>
      <c r="BJ27" s="54"/>
      <c r="BK27" s="54"/>
      <c r="BL27" s="54"/>
      <c r="BM27" s="54"/>
      <c r="BN27" s="54"/>
      <c r="BO27" s="54"/>
      <c r="BP27" s="54"/>
      <c r="BQ27" s="54"/>
      <c r="BR27" s="54"/>
      <c r="BS27" s="54"/>
      <c r="BT27" s="54"/>
      <c r="BU27" s="54"/>
      <c r="BV27" s="54"/>
      <c r="BW27" s="54"/>
      <c r="BX27" s="54"/>
    </row>
    <row r="28" spans="1:76" x14ac:dyDescent="0.35">
      <c r="B28" s="23" t="s">
        <v>144</v>
      </c>
      <c r="C28" s="36"/>
      <c r="D28" s="36"/>
      <c r="E28" s="36"/>
      <c r="F28" s="36">
        <v>52245.171999999999</v>
      </c>
      <c r="G28" s="36">
        <v>52245.171999999999</v>
      </c>
      <c r="H28" s="36"/>
      <c r="I28" s="36"/>
      <c r="J28" s="36"/>
      <c r="K28" s="36"/>
      <c r="L28" s="36">
        <v>2969</v>
      </c>
      <c r="M28" s="36"/>
      <c r="N28" s="36"/>
      <c r="O28" s="36"/>
      <c r="P28" s="36"/>
      <c r="Q28" s="36">
        <v>698369</v>
      </c>
      <c r="R28" s="36"/>
      <c r="S28" s="36"/>
      <c r="T28" s="36"/>
      <c r="U28" s="36"/>
      <c r="V28" s="36">
        <v>-607019</v>
      </c>
      <c r="W28" s="124">
        <v>483245</v>
      </c>
      <c r="X28" s="124">
        <v>495673</v>
      </c>
      <c r="Y28" s="124">
        <v>373311</v>
      </c>
      <c r="Z28" s="124">
        <v>373311</v>
      </c>
      <c r="AA28" s="124">
        <v>-340660</v>
      </c>
      <c r="AB28" s="124">
        <v>54438</v>
      </c>
      <c r="AC28" s="124">
        <v>1728016</v>
      </c>
      <c r="AD28" s="124">
        <v>955648</v>
      </c>
      <c r="AE28" s="124">
        <v>1358051</v>
      </c>
      <c r="AF28" s="124">
        <v>1358051</v>
      </c>
      <c r="AG28" s="124">
        <v>-271063</v>
      </c>
      <c r="AH28" s="124">
        <v>-24728</v>
      </c>
      <c r="AI28" s="124">
        <v>-348677</v>
      </c>
      <c r="AJ28" s="124">
        <v>593574</v>
      </c>
      <c r="AK28" s="124">
        <v>593574</v>
      </c>
      <c r="AL28" s="124">
        <v>-183794</v>
      </c>
      <c r="AM28" s="124">
        <v>86972</v>
      </c>
      <c r="AN28" s="124">
        <v>192325</v>
      </c>
      <c r="AO28" s="124">
        <v>469992</v>
      </c>
      <c r="AP28" s="124">
        <v>469992</v>
      </c>
      <c r="AQ28" s="36">
        <v>-24265</v>
      </c>
      <c r="AR28" s="36">
        <v>-84616</v>
      </c>
      <c r="AS28" s="36">
        <v>1789585</v>
      </c>
      <c r="AT28" s="36">
        <v>1184041</v>
      </c>
      <c r="AU28" s="36">
        <v>-830377</v>
      </c>
      <c r="AV28" s="36">
        <v>-205189</v>
      </c>
      <c r="AW28" s="36">
        <v>672333</v>
      </c>
      <c r="AX28" s="36">
        <v>894616</v>
      </c>
      <c r="AY28" s="36">
        <v>-579388</v>
      </c>
      <c r="AZ28" s="36">
        <v>498661</v>
      </c>
      <c r="BA28" s="36">
        <v>278837.59999999998</v>
      </c>
      <c r="BB28" s="36">
        <v>-119183.40000000002</v>
      </c>
      <c r="BC28" s="36">
        <v>-1255611</v>
      </c>
      <c r="BD28" s="36">
        <v>705274</v>
      </c>
      <c r="BE28" s="36">
        <v>705274</v>
      </c>
      <c r="BF28" s="36">
        <v>-329297</v>
      </c>
      <c r="BG28" s="36">
        <v>552847.51957565569</v>
      </c>
      <c r="BH28" s="36">
        <v>425881</v>
      </c>
      <c r="BI28" s="36">
        <v>1586948</v>
      </c>
      <c r="BJ28" s="36">
        <v>1586948</v>
      </c>
      <c r="BK28" s="36">
        <v>-482287</v>
      </c>
      <c r="BL28" s="36">
        <v>359826</v>
      </c>
      <c r="BM28" s="36">
        <v>157311</v>
      </c>
      <c r="BN28" s="36">
        <v>-236884</v>
      </c>
      <c r="BO28" s="36">
        <v>-236884</v>
      </c>
      <c r="BP28" s="36">
        <v>-251246</v>
      </c>
      <c r="BQ28" s="36">
        <v>141231</v>
      </c>
      <c r="BR28" s="36">
        <v>-834445</v>
      </c>
      <c r="BS28" s="127">
        <v>-990562</v>
      </c>
      <c r="BT28" s="127">
        <v>-990562</v>
      </c>
      <c r="BU28" s="36">
        <v>39180</v>
      </c>
      <c r="BV28" s="36">
        <v>-443326</v>
      </c>
      <c r="BW28" s="36">
        <v>-954081</v>
      </c>
      <c r="BX28" s="127">
        <v>-814690</v>
      </c>
    </row>
    <row r="29" spans="1:76" x14ac:dyDescent="0.35">
      <c r="B29" s="23" t="s">
        <v>145</v>
      </c>
      <c r="C29" s="54"/>
      <c r="D29" s="54"/>
      <c r="E29" s="54"/>
      <c r="F29" s="54"/>
      <c r="G29" s="54"/>
      <c r="H29" s="54"/>
      <c r="I29" s="54"/>
      <c r="J29" s="54"/>
      <c r="K29" s="54">
        <v>91922</v>
      </c>
      <c r="L29" s="54">
        <v>91922</v>
      </c>
      <c r="M29" s="54" t="s">
        <v>243</v>
      </c>
      <c r="N29" s="54">
        <v>22982</v>
      </c>
      <c r="O29" s="54">
        <v>22982</v>
      </c>
      <c r="P29" s="54">
        <v>83608</v>
      </c>
      <c r="Q29" s="54">
        <v>83608</v>
      </c>
      <c r="R29" s="54">
        <v>-75727</v>
      </c>
      <c r="S29" s="54">
        <v>410979</v>
      </c>
      <c r="T29" s="54">
        <v>114105</v>
      </c>
      <c r="U29" s="54">
        <v>-60767</v>
      </c>
      <c r="V29" s="54">
        <v>40667</v>
      </c>
      <c r="W29" s="55">
        <v>23605</v>
      </c>
      <c r="X29" s="55">
        <v>87344</v>
      </c>
      <c r="Y29" s="55">
        <v>108539</v>
      </c>
      <c r="Z29" s="55">
        <v>145781</v>
      </c>
      <c r="AA29" s="55">
        <v>145781</v>
      </c>
      <c r="AB29" s="55">
        <v>19422</v>
      </c>
      <c r="AC29" s="55">
        <v>-2658</v>
      </c>
      <c r="AD29" s="55">
        <v>-26603</v>
      </c>
      <c r="AE29" s="55">
        <v>-61149</v>
      </c>
      <c r="AF29" s="55">
        <v>-61149</v>
      </c>
      <c r="AG29" s="55">
        <v>-14785</v>
      </c>
      <c r="AH29" s="55">
        <v>25224</v>
      </c>
      <c r="AI29" s="55">
        <v>67057</v>
      </c>
      <c r="AJ29" s="55">
        <v>180385</v>
      </c>
      <c r="AK29" s="55">
        <v>180385</v>
      </c>
      <c r="AL29" s="55">
        <v>149690</v>
      </c>
      <c r="AM29" s="55">
        <v>147237</v>
      </c>
      <c r="AN29" s="55">
        <v>201639</v>
      </c>
      <c r="AO29" s="55">
        <v>403572</v>
      </c>
      <c r="AP29" s="55">
        <v>403572</v>
      </c>
      <c r="AQ29" s="54">
        <v>105003</v>
      </c>
      <c r="AR29" s="54">
        <v>89194</v>
      </c>
      <c r="AS29" s="54">
        <v>-38374</v>
      </c>
      <c r="AT29" s="54">
        <v>114902</v>
      </c>
      <c r="AU29" s="54">
        <v>114902</v>
      </c>
      <c r="AV29" s="54">
        <v>137432</v>
      </c>
      <c r="AW29" s="54">
        <v>-121209</v>
      </c>
      <c r="AX29" s="54">
        <v>-99888</v>
      </c>
      <c r="AY29" s="54">
        <v>-121737</v>
      </c>
      <c r="AZ29" s="54">
        <v>-121737</v>
      </c>
      <c r="BA29" s="54">
        <v>40256</v>
      </c>
      <c r="BB29" s="54">
        <v>100423</v>
      </c>
      <c r="BC29" s="54">
        <v>70463</v>
      </c>
      <c r="BD29" s="54">
        <v>137895</v>
      </c>
      <c r="BE29" s="54">
        <v>137895</v>
      </c>
      <c r="BF29" s="54">
        <v>50615</v>
      </c>
      <c r="BG29" s="54">
        <v>39750.818016717094</v>
      </c>
      <c r="BH29" s="54">
        <v>10023</v>
      </c>
      <c r="BI29" s="54">
        <v>107964</v>
      </c>
      <c r="BJ29" s="54">
        <v>107964</v>
      </c>
      <c r="BK29" s="54">
        <v>2510</v>
      </c>
      <c r="BL29" s="54">
        <v>-165106</v>
      </c>
      <c r="BM29" s="54">
        <v>-154721</v>
      </c>
      <c r="BN29" s="54">
        <v>-109283</v>
      </c>
      <c r="BO29" s="54">
        <v>-109283</v>
      </c>
      <c r="BP29" s="54">
        <v>-16104</v>
      </c>
      <c r="BQ29" s="54">
        <v>-38782</v>
      </c>
      <c r="BR29" s="54">
        <v>-49808</v>
      </c>
      <c r="BS29" s="127">
        <v>52214</v>
      </c>
      <c r="BT29" s="127">
        <v>52214</v>
      </c>
      <c r="BU29" s="54">
        <v>-72350</v>
      </c>
      <c r="BV29" s="54">
        <v>-103951</v>
      </c>
      <c r="BW29" s="54">
        <v>-97787</v>
      </c>
      <c r="BX29" s="127">
        <v>-18724</v>
      </c>
    </row>
    <row r="30" spans="1:76" x14ac:dyDescent="0.35">
      <c r="B30" s="23" t="s">
        <v>324</v>
      </c>
      <c r="C30" s="54"/>
      <c r="D30" s="54"/>
      <c r="E30" s="54"/>
      <c r="F30" s="54"/>
      <c r="G30" s="54"/>
      <c r="H30" s="54"/>
      <c r="I30" s="54"/>
      <c r="J30" s="54"/>
      <c r="K30" s="54"/>
      <c r="L30" s="54"/>
      <c r="M30" s="54"/>
      <c r="N30" s="54">
        <v>63344</v>
      </c>
      <c r="O30" s="54">
        <v>152828</v>
      </c>
      <c r="P30" s="54">
        <v>1092176</v>
      </c>
      <c r="Q30" s="54">
        <v>0</v>
      </c>
      <c r="R30" s="36">
        <v>-1672806</v>
      </c>
      <c r="S30" s="36">
        <v>-304680</v>
      </c>
      <c r="T30" s="36">
        <v>-4776359</v>
      </c>
      <c r="U30" s="36">
        <v>-1819379</v>
      </c>
      <c r="V30" s="36" t="s">
        <v>167</v>
      </c>
      <c r="W30" s="55"/>
      <c r="X30" s="55" t="s">
        <v>167</v>
      </c>
      <c r="Y30" s="55"/>
      <c r="Z30" s="55" t="s">
        <v>167</v>
      </c>
      <c r="AA30" s="55" t="s">
        <v>167</v>
      </c>
      <c r="AB30" s="55" t="s">
        <v>167</v>
      </c>
      <c r="AC30" s="55" t="s">
        <v>167</v>
      </c>
      <c r="AD30" s="55"/>
      <c r="AE30" s="55">
        <v>86717</v>
      </c>
      <c r="AF30" s="55">
        <v>86717</v>
      </c>
      <c r="AG30" s="55">
        <v>-11001</v>
      </c>
      <c r="AH30" s="55">
        <v>-18361</v>
      </c>
      <c r="AI30" s="55">
        <v>-29439</v>
      </c>
      <c r="AJ30" s="55">
        <v>-72253</v>
      </c>
      <c r="AK30" s="55">
        <v>-72253</v>
      </c>
      <c r="AL30" s="55">
        <v>-5288</v>
      </c>
      <c r="AM30" s="55">
        <v>288050</v>
      </c>
      <c r="AN30" s="55">
        <v>239450</v>
      </c>
      <c r="AO30" s="55">
        <v>239450</v>
      </c>
      <c r="AP30" s="55">
        <v>239450</v>
      </c>
      <c r="AQ30" s="54" t="s">
        <v>167</v>
      </c>
      <c r="AR30" s="54" t="s">
        <v>167</v>
      </c>
      <c r="AS30" s="54" t="s">
        <v>167</v>
      </c>
      <c r="AT30" s="54">
        <v>0</v>
      </c>
      <c r="AU30" s="54">
        <v>0</v>
      </c>
      <c r="AV30" s="54">
        <v>0</v>
      </c>
      <c r="AW30" s="54">
        <v>0</v>
      </c>
      <c r="AX30" s="54"/>
      <c r="AY30" s="54"/>
      <c r="AZ30" s="54"/>
      <c r="BA30" s="54"/>
      <c r="BB30" s="54"/>
      <c r="BC30" s="54"/>
      <c r="BD30" s="54"/>
      <c r="BE30" s="54"/>
      <c r="BF30" s="54">
        <v>23314</v>
      </c>
      <c r="BG30" s="54">
        <v>4046.5968500000017</v>
      </c>
      <c r="BH30" s="54">
        <v>22824</v>
      </c>
      <c r="BI30" s="54">
        <v>-46960</v>
      </c>
      <c r="BJ30" s="54">
        <v>-46963</v>
      </c>
      <c r="BK30" s="54">
        <v>33661</v>
      </c>
      <c r="BL30" s="54">
        <v>102889</v>
      </c>
      <c r="BM30" s="54">
        <v>105623</v>
      </c>
      <c r="BN30" s="54">
        <v>100680</v>
      </c>
      <c r="BO30" s="54">
        <v>100680</v>
      </c>
      <c r="BP30" s="54">
        <v>-8690</v>
      </c>
      <c r="BQ30" s="54">
        <v>-8752</v>
      </c>
      <c r="BR30" s="54">
        <v>-15891</v>
      </c>
      <c r="BS30" s="127">
        <v>-25655</v>
      </c>
      <c r="BT30" s="127">
        <v>-25655</v>
      </c>
      <c r="BU30" s="54">
        <v>-17387</v>
      </c>
      <c r="BV30" s="54">
        <v>-18294</v>
      </c>
      <c r="BW30" s="54">
        <v>-20618</v>
      </c>
      <c r="BX30" s="127">
        <v>-16413</v>
      </c>
    </row>
    <row r="31" spans="1:76" x14ac:dyDescent="0.35">
      <c r="B31" s="23" t="s">
        <v>146</v>
      </c>
      <c r="C31" s="54">
        <v>20671.310000000001</v>
      </c>
      <c r="D31" s="54">
        <v>37103.339999999997</v>
      </c>
      <c r="E31" s="54">
        <v>37811.398999999998</v>
      </c>
      <c r="F31" s="54">
        <v>38306.097999999998</v>
      </c>
      <c r="G31" s="54">
        <v>38306.097999999998</v>
      </c>
      <c r="H31" s="54" t="s">
        <v>167</v>
      </c>
      <c r="I31" s="54">
        <v>8003.4070000000002</v>
      </c>
      <c r="J31" s="54">
        <v>126089.664</v>
      </c>
      <c r="K31" s="54">
        <v>10456</v>
      </c>
      <c r="L31" s="54">
        <v>10456</v>
      </c>
      <c r="M31" s="54">
        <v>2573</v>
      </c>
      <c r="N31" s="54">
        <v>27301</v>
      </c>
      <c r="O31" s="54">
        <v>30549</v>
      </c>
      <c r="P31" s="54">
        <v>223153</v>
      </c>
      <c r="Q31" s="54">
        <v>223154</v>
      </c>
      <c r="R31" s="54">
        <v>1414</v>
      </c>
      <c r="S31" s="54">
        <v>-65898</v>
      </c>
      <c r="T31" s="54">
        <v>-22031</v>
      </c>
      <c r="U31" s="54">
        <v>40666</v>
      </c>
      <c r="V31" s="54">
        <v>85231</v>
      </c>
      <c r="W31" s="55">
        <v>40787</v>
      </c>
      <c r="X31" s="55">
        <v>151509</v>
      </c>
      <c r="Y31" s="55">
        <v>181051</v>
      </c>
      <c r="Z31" s="55">
        <v>227494</v>
      </c>
      <c r="AA31" s="55">
        <v>227494</v>
      </c>
      <c r="AB31" s="55">
        <v>13910</v>
      </c>
      <c r="AC31" s="55">
        <v>47342</v>
      </c>
      <c r="AD31" s="55">
        <v>90765</v>
      </c>
      <c r="AE31" s="55">
        <v>122764</v>
      </c>
      <c r="AF31" s="55">
        <v>122764</v>
      </c>
      <c r="AG31" s="55">
        <v>-3331</v>
      </c>
      <c r="AH31" s="55">
        <v>12058</v>
      </c>
      <c r="AI31" s="55">
        <v>28138</v>
      </c>
      <c r="AJ31" s="55">
        <v>96350</v>
      </c>
      <c r="AK31" s="55">
        <v>96350</v>
      </c>
      <c r="AL31" s="55">
        <v>-18068</v>
      </c>
      <c r="AM31" s="55">
        <v>21505</v>
      </c>
      <c r="AN31" s="55">
        <v>16021</v>
      </c>
      <c r="AO31" s="55">
        <v>35660</v>
      </c>
      <c r="AP31" s="55">
        <v>35660</v>
      </c>
      <c r="AQ31" s="54">
        <v>6129</v>
      </c>
      <c r="AR31" s="54">
        <v>20132</v>
      </c>
      <c r="AS31" s="54">
        <v>43177</v>
      </c>
      <c r="AT31" s="54">
        <v>205455</v>
      </c>
      <c r="AU31" s="54">
        <v>205455</v>
      </c>
      <c r="AV31" s="54">
        <v>156465</v>
      </c>
      <c r="AW31" s="54">
        <v>156242</v>
      </c>
      <c r="AX31" s="54">
        <v>140061</v>
      </c>
      <c r="AY31" s="54">
        <v>110496</v>
      </c>
      <c r="AZ31" s="54">
        <v>110497</v>
      </c>
      <c r="BA31" s="54">
        <v>12462</v>
      </c>
      <c r="BB31" s="54">
        <v>23598</v>
      </c>
      <c r="BC31" s="54">
        <v>100152</v>
      </c>
      <c r="BD31" s="54">
        <v>75214</v>
      </c>
      <c r="BE31" s="54">
        <v>75214</v>
      </c>
      <c r="BF31" s="54">
        <v>6593</v>
      </c>
      <c r="BG31" s="54">
        <v>62319.764973117504</v>
      </c>
      <c r="BH31" s="54">
        <v>115314</v>
      </c>
      <c r="BI31" s="54">
        <v>144592</v>
      </c>
      <c r="BJ31" s="54">
        <v>144592</v>
      </c>
      <c r="BK31" s="54">
        <v>-9824</v>
      </c>
      <c r="BL31" s="54">
        <v>-44119</v>
      </c>
      <c r="BM31" s="54">
        <v>16410</v>
      </c>
      <c r="BN31" s="54">
        <v>51639</v>
      </c>
      <c r="BO31" s="54">
        <v>51639</v>
      </c>
      <c r="BP31" s="54">
        <v>32279</v>
      </c>
      <c r="BQ31" s="54">
        <v>106752</v>
      </c>
      <c r="BR31" s="54">
        <v>187393</v>
      </c>
      <c r="BS31" s="127">
        <v>235664</v>
      </c>
      <c r="BT31" s="127">
        <v>235664</v>
      </c>
      <c r="BU31" s="54">
        <v>25579</v>
      </c>
      <c r="BV31" s="54">
        <v>-1766</v>
      </c>
      <c r="BW31" s="54">
        <v>33609</v>
      </c>
      <c r="BX31" s="127">
        <v>348917</v>
      </c>
    </row>
    <row r="32" spans="1:76" x14ac:dyDescent="0.35">
      <c r="B32" s="23" t="s">
        <v>147</v>
      </c>
      <c r="C32" s="47"/>
      <c r="D32" s="47"/>
      <c r="E32" s="47"/>
      <c r="F32" s="47"/>
      <c r="G32" s="47"/>
      <c r="H32" s="47"/>
      <c r="I32" s="47"/>
      <c r="J32" s="47"/>
      <c r="K32" s="47"/>
      <c r="L32" s="47">
        <v>37586</v>
      </c>
      <c r="M32" s="47"/>
      <c r="N32" s="47">
        <v>57453</v>
      </c>
      <c r="O32" s="47">
        <v>33619</v>
      </c>
      <c r="P32" s="47"/>
      <c r="Q32" s="47">
        <v>-32028</v>
      </c>
      <c r="R32" s="47">
        <v>37909</v>
      </c>
      <c r="S32" s="47">
        <v>54825</v>
      </c>
      <c r="T32" s="47">
        <v>64004</v>
      </c>
      <c r="U32" s="47">
        <v>85230</v>
      </c>
      <c r="V32" s="47">
        <v>-60767</v>
      </c>
      <c r="W32" s="123">
        <v>92220</v>
      </c>
      <c r="X32" s="123">
        <v>98472</v>
      </c>
      <c r="Y32" s="123">
        <v>99097</v>
      </c>
      <c r="Z32" s="123">
        <v>104488</v>
      </c>
      <c r="AA32" s="123">
        <v>104488</v>
      </c>
      <c r="AB32" s="123">
        <v>22434</v>
      </c>
      <c r="AC32" s="123">
        <v>49711</v>
      </c>
      <c r="AD32" s="123">
        <v>38298</v>
      </c>
      <c r="AE32" s="123">
        <v>11222</v>
      </c>
      <c r="AF32" s="123">
        <v>-11222</v>
      </c>
      <c r="AG32" s="123">
        <v>51562</v>
      </c>
      <c r="AH32" s="123">
        <v>29021</v>
      </c>
      <c r="AI32" s="123">
        <v>110877</v>
      </c>
      <c r="AJ32" s="123">
        <v>116835</v>
      </c>
      <c r="AK32" s="123">
        <v>116835</v>
      </c>
      <c r="AL32" s="123">
        <v>36050</v>
      </c>
      <c r="AM32" s="123">
        <v>29276</v>
      </c>
      <c r="AN32" s="123">
        <v>17126</v>
      </c>
      <c r="AO32" s="123">
        <v>-4927</v>
      </c>
      <c r="AP32" s="123">
        <v>-4927</v>
      </c>
      <c r="AQ32" s="47">
        <v>25036</v>
      </c>
      <c r="AR32" s="47">
        <v>98186</v>
      </c>
      <c r="AS32" s="47">
        <v>-72598</v>
      </c>
      <c r="AT32" s="47">
        <v>45394</v>
      </c>
      <c r="AU32" s="47">
        <v>45394</v>
      </c>
      <c r="AV32" s="47">
        <v>25394</v>
      </c>
      <c r="AW32" s="47">
        <v>60243</v>
      </c>
      <c r="AX32" s="36">
        <v>103877</v>
      </c>
      <c r="AY32" s="36">
        <v>24145</v>
      </c>
      <c r="AZ32" s="36">
        <v>24144</v>
      </c>
      <c r="BA32" s="36">
        <v>-42238</v>
      </c>
      <c r="BB32" s="36">
        <v>20637</v>
      </c>
      <c r="BC32" s="36">
        <v>100521</v>
      </c>
      <c r="BD32" s="47">
        <v>-127618</v>
      </c>
      <c r="BE32" s="47">
        <v>-127618</v>
      </c>
      <c r="BF32" s="36">
        <v>-1687</v>
      </c>
      <c r="BG32" s="36">
        <v>169794.05063999997</v>
      </c>
      <c r="BH32" s="36">
        <v>136802</v>
      </c>
      <c r="BI32" s="36">
        <v>-22</v>
      </c>
      <c r="BJ32" s="47">
        <v>-22</v>
      </c>
      <c r="BK32" s="36">
        <v>32398</v>
      </c>
      <c r="BL32" s="36">
        <v>-54520</v>
      </c>
      <c r="BM32" s="36">
        <v>-59947</v>
      </c>
      <c r="BN32" s="36">
        <v>172087</v>
      </c>
      <c r="BO32" s="36">
        <v>172087</v>
      </c>
      <c r="BP32" s="36">
        <v>199931</v>
      </c>
      <c r="BQ32" s="36">
        <v>212520</v>
      </c>
      <c r="BR32" s="36">
        <v>443408</v>
      </c>
      <c r="BS32" s="169">
        <v>-483762</v>
      </c>
      <c r="BT32" s="169">
        <v>-483762</v>
      </c>
      <c r="BU32" s="36">
        <v>-1384</v>
      </c>
      <c r="BV32" s="36">
        <v>61597</v>
      </c>
      <c r="BW32" s="36">
        <v>262107</v>
      </c>
      <c r="BX32" s="169">
        <v>-24560</v>
      </c>
    </row>
    <row r="33" spans="1:76" s="22" customFormat="1" x14ac:dyDescent="0.35">
      <c r="A33" s="51"/>
      <c r="B33" s="51" t="s">
        <v>148</v>
      </c>
      <c r="C33" s="86">
        <v>-13655.156999999999</v>
      </c>
      <c r="D33" s="86">
        <v>-849454.44</v>
      </c>
      <c r="E33" s="86">
        <v>-690343.29</v>
      </c>
      <c r="F33" s="86">
        <v>-19107.921999999999</v>
      </c>
      <c r="G33" s="86">
        <f>SUM(G19:G32)</f>
        <v>-19107.922000000013</v>
      </c>
      <c r="H33" s="86">
        <v>-14044.163</v>
      </c>
      <c r="I33" s="86">
        <v>-92183.024999999994</v>
      </c>
      <c r="J33" s="86">
        <v>-102018.625</v>
      </c>
      <c r="K33" s="86">
        <v>16937</v>
      </c>
      <c r="L33" s="86">
        <f>SUM(L19:L32)</f>
        <v>16937</v>
      </c>
      <c r="M33" s="86">
        <v>379379</v>
      </c>
      <c r="N33" s="86">
        <v>1111475</v>
      </c>
      <c r="O33" s="86">
        <v>2149335</v>
      </c>
      <c r="P33" s="86">
        <v>-92014</v>
      </c>
      <c r="Q33" s="86">
        <f>SUM(Q19:Q32)</f>
        <v>1251929</v>
      </c>
      <c r="R33" s="86">
        <v>-272207</v>
      </c>
      <c r="S33" s="86">
        <v>4685679</v>
      </c>
      <c r="T33" s="86">
        <v>-281284</v>
      </c>
      <c r="U33" s="86">
        <v>3918558</v>
      </c>
      <c r="V33" s="86">
        <f>SUM(V19:V32)</f>
        <v>5614331</v>
      </c>
      <c r="W33" s="125">
        <v>2203623</v>
      </c>
      <c r="X33" s="125">
        <v>2651079</v>
      </c>
      <c r="Y33" s="125">
        <v>5020343</v>
      </c>
      <c r="Z33" s="125">
        <v>6885616</v>
      </c>
      <c r="AA33" s="86">
        <f>SUM(AA19:AA32)</f>
        <v>6885615</v>
      </c>
      <c r="AB33" s="125">
        <v>3369735</v>
      </c>
      <c r="AC33" s="125">
        <v>7161991</v>
      </c>
      <c r="AD33" s="125">
        <v>9867115</v>
      </c>
      <c r="AE33" s="125">
        <v>12176264</v>
      </c>
      <c r="AF33" s="86">
        <f>SUM(AF19:AF32)</f>
        <v>12176264</v>
      </c>
      <c r="AG33" s="125">
        <v>1923739</v>
      </c>
      <c r="AH33" s="125">
        <v>4052085</v>
      </c>
      <c r="AI33" s="125">
        <v>7975154</v>
      </c>
      <c r="AJ33" s="125">
        <v>9480721</v>
      </c>
      <c r="AK33" s="86">
        <f>SUM(AK19:AK32)</f>
        <v>9480721</v>
      </c>
      <c r="AL33" s="125">
        <v>1720871</v>
      </c>
      <c r="AM33" s="125">
        <v>7103958</v>
      </c>
      <c r="AN33" s="125">
        <v>10972666</v>
      </c>
      <c r="AO33" s="125">
        <v>15044885</v>
      </c>
      <c r="AP33" s="86">
        <f>SUM(AP19:AP32)</f>
        <v>14052388</v>
      </c>
      <c r="AQ33" s="86">
        <v>5137443</v>
      </c>
      <c r="AR33" s="86">
        <v>6667851</v>
      </c>
      <c r="AS33" s="86">
        <v>10571647</v>
      </c>
      <c r="AT33" s="86">
        <v>13266786.00453</v>
      </c>
      <c r="AU33" s="86">
        <f>SUM(AU19:AU32)</f>
        <v>11666700.50819</v>
      </c>
      <c r="AV33" s="86">
        <f>SUM(AV19:AV32)</f>
        <v>3887616</v>
      </c>
      <c r="AW33" s="86">
        <v>7717526</v>
      </c>
      <c r="AX33" s="86">
        <f t="shared" ref="AX33:BD33" si="7">SUM(AX19:AX32)</f>
        <v>10657812.899350004</v>
      </c>
      <c r="AY33" s="86">
        <f t="shared" si="7"/>
        <v>13520527</v>
      </c>
      <c r="AZ33" s="86">
        <f>SUM(AZ19:AZ32)</f>
        <v>14937868</v>
      </c>
      <c r="BA33" s="86">
        <f t="shared" si="7"/>
        <v>2918272.6</v>
      </c>
      <c r="BB33" s="86">
        <f t="shared" si="7"/>
        <v>7056946.1299999999</v>
      </c>
      <c r="BC33" s="86">
        <f t="shared" si="7"/>
        <v>10467539</v>
      </c>
      <c r="BD33" s="86">
        <f t="shared" si="7"/>
        <v>18112965</v>
      </c>
      <c r="BE33" s="86">
        <f>SUM(BE19:BE32)</f>
        <v>18112965</v>
      </c>
      <c r="BF33" s="86">
        <f t="shared" ref="BF33:BH33" si="8">SUM(BF19:BF32)</f>
        <v>3693822</v>
      </c>
      <c r="BG33" s="86">
        <f t="shared" si="8"/>
        <v>9296259.591185296</v>
      </c>
      <c r="BH33" s="86">
        <f t="shared" si="8"/>
        <v>14267761</v>
      </c>
      <c r="BI33" s="86">
        <f>SUM(BI19:BI32)</f>
        <v>19665898</v>
      </c>
      <c r="BJ33" s="86">
        <f>SUM(BJ19:BJ32)</f>
        <v>19665897</v>
      </c>
      <c r="BK33" s="86">
        <f t="shared" ref="BK33:BM33" si="9">SUM(BK19:BK32)</f>
        <v>5343670</v>
      </c>
      <c r="BL33" s="86">
        <f t="shared" si="9"/>
        <v>9425569</v>
      </c>
      <c r="BM33" s="86">
        <f t="shared" si="9"/>
        <v>13779059.58</v>
      </c>
      <c r="BN33" s="86">
        <f>SUM(BN19:BN32)</f>
        <v>18487147</v>
      </c>
      <c r="BO33" s="86">
        <f>SUM(BO19:BO32)</f>
        <v>18487147</v>
      </c>
      <c r="BP33" s="86">
        <f>SUM(BP19:BP32)</f>
        <v>4602916.3612969499</v>
      </c>
      <c r="BQ33" s="86">
        <f t="shared" ref="BQ33:BR33" si="10">SUM(BQ19:BQ32)</f>
        <v>9681130</v>
      </c>
      <c r="BR33" s="86">
        <f t="shared" si="10"/>
        <v>14652296</v>
      </c>
      <c r="BS33" s="86">
        <f>SUM(BS19:BS32)</f>
        <v>19558643</v>
      </c>
      <c r="BT33" s="86">
        <f>SUM(BT19:BT32)</f>
        <v>19558643</v>
      </c>
      <c r="BU33" s="86">
        <f>SUM(BU19:BU32)</f>
        <v>4909853</v>
      </c>
      <c r="BV33" s="86">
        <f t="shared" ref="BV33:BW33" si="11">SUM(BV19:BV32)</f>
        <v>9830514</v>
      </c>
      <c r="BW33" s="86">
        <f t="shared" si="11"/>
        <v>14480042</v>
      </c>
      <c r="BX33" s="86">
        <f>SUM(BX19:BX32)</f>
        <v>17254602</v>
      </c>
    </row>
    <row r="34" spans="1:76" x14ac:dyDescent="0.35">
      <c r="B34" s="51" t="s">
        <v>169</v>
      </c>
      <c r="C34" s="23"/>
      <c r="D34" s="23"/>
      <c r="E34" s="23"/>
      <c r="F34" s="23"/>
      <c r="G34" s="23"/>
      <c r="H34" s="23"/>
      <c r="I34" s="23"/>
      <c r="J34" s="23"/>
      <c r="K34" s="23"/>
      <c r="L34" s="23"/>
      <c r="M34" s="23"/>
      <c r="N34" s="23"/>
      <c r="O34" s="23"/>
      <c r="P34" s="23"/>
      <c r="Q34" s="23"/>
      <c r="R34" s="23"/>
      <c r="S34" s="23"/>
      <c r="T34" s="23"/>
      <c r="U34" s="23"/>
      <c r="V34" s="23"/>
      <c r="W34" s="126"/>
      <c r="X34" s="126"/>
      <c r="Y34" s="126"/>
      <c r="Z34" s="126"/>
      <c r="AA34" s="126"/>
      <c r="AB34" s="126"/>
      <c r="AC34" s="126"/>
      <c r="AD34" s="126"/>
      <c r="AE34" s="126"/>
      <c r="AF34" s="126"/>
      <c r="AG34" s="126"/>
      <c r="AH34" s="126"/>
      <c r="AI34" s="126"/>
      <c r="AJ34" s="126"/>
      <c r="AK34" s="126"/>
      <c r="AL34" s="126"/>
      <c r="AM34" s="126"/>
      <c r="AN34" s="126"/>
      <c r="AO34" s="126"/>
      <c r="AP34" s="126"/>
      <c r="AT34" s="23"/>
      <c r="AU34" s="23"/>
      <c r="AY34" s="23"/>
      <c r="AZ34" s="23"/>
    </row>
    <row r="35" spans="1:76" x14ac:dyDescent="0.35">
      <c r="B35" s="23" t="s">
        <v>149</v>
      </c>
      <c r="C35" s="55"/>
      <c r="D35" s="55"/>
      <c r="E35" s="55"/>
      <c r="F35" s="55"/>
      <c r="G35" s="55"/>
      <c r="H35" s="55">
        <v>15148.812</v>
      </c>
      <c r="I35" s="55">
        <v>-12284.525000000001</v>
      </c>
      <c r="J35" s="55">
        <v>-13693.359</v>
      </c>
      <c r="K35" s="55">
        <v>-1150281</v>
      </c>
      <c r="L35" s="55">
        <v>-1150281</v>
      </c>
      <c r="M35" s="55">
        <v>17898000</v>
      </c>
      <c r="N35" s="55">
        <v>6865586</v>
      </c>
      <c r="O35" s="55">
        <v>3469459</v>
      </c>
      <c r="P35" s="55">
        <v>-2122357</v>
      </c>
      <c r="Q35" s="55">
        <v>-3857789</v>
      </c>
      <c r="R35" s="55">
        <v>-607442</v>
      </c>
      <c r="S35" s="55">
        <v>-2556661</v>
      </c>
      <c r="T35" s="55">
        <v>-1170015</v>
      </c>
      <c r="U35" s="55">
        <v>-4308289</v>
      </c>
      <c r="V35" s="55">
        <v>-3573709</v>
      </c>
      <c r="W35" s="55">
        <v>-1504145</v>
      </c>
      <c r="X35" s="55">
        <v>-3100025</v>
      </c>
      <c r="Y35" s="55">
        <v>-4541688</v>
      </c>
      <c r="Z35" s="55">
        <v>-8122203</v>
      </c>
      <c r="AA35" s="55">
        <v>-8122203</v>
      </c>
      <c r="AB35" s="55">
        <v>-1004110</v>
      </c>
      <c r="AC35" s="55">
        <v>-2986547</v>
      </c>
      <c r="AD35" s="55">
        <v>-4369800</v>
      </c>
      <c r="AE35" s="55">
        <v>-5878590</v>
      </c>
      <c r="AF35" s="55">
        <v>-5878590</v>
      </c>
      <c r="AG35" s="55">
        <v>-1728846</v>
      </c>
      <c r="AH35" s="55">
        <v>-2589460</v>
      </c>
      <c r="AI35" s="55">
        <v>-4767394</v>
      </c>
      <c r="AJ35" s="55">
        <v>-1266107</v>
      </c>
      <c r="AK35" s="55">
        <v>-6025406</v>
      </c>
      <c r="AL35" s="55">
        <v>-6025406</v>
      </c>
      <c r="AM35" s="55">
        <v>-4385752</v>
      </c>
      <c r="AN35" s="55">
        <v>-7303944</v>
      </c>
      <c r="AO35" s="55">
        <v>-9407291</v>
      </c>
      <c r="AP35" s="55">
        <v>-8267643</v>
      </c>
      <c r="AQ35" s="54">
        <v>-1990150</v>
      </c>
      <c r="AR35" s="55">
        <v>-4055601</v>
      </c>
      <c r="AS35" s="55">
        <v>-5992146</v>
      </c>
      <c r="AT35" s="55">
        <v>-9646769</v>
      </c>
      <c r="AU35" s="55">
        <v>-7401364</v>
      </c>
      <c r="AV35" s="54">
        <v>-633367</v>
      </c>
      <c r="AW35" s="55">
        <v>-1196418</v>
      </c>
      <c r="AX35" s="55">
        <v>-3655848</v>
      </c>
      <c r="AY35" s="55">
        <v>-5591676</v>
      </c>
      <c r="AZ35" s="55">
        <v>-4804286</v>
      </c>
      <c r="BA35" s="54">
        <v>-1109914</v>
      </c>
      <c r="BB35" s="54">
        <v>-2335567</v>
      </c>
      <c r="BC35" s="54">
        <v>-3216173</v>
      </c>
      <c r="BD35" s="54">
        <v>-4966132</v>
      </c>
      <c r="BE35" s="54">
        <v>-2115651</v>
      </c>
      <c r="BF35" s="54">
        <v>-1800055</v>
      </c>
      <c r="BG35" s="54">
        <v>-3832497.676456288</v>
      </c>
      <c r="BH35" s="54">
        <v>-5555585</v>
      </c>
      <c r="BI35" s="54">
        <v>-7174575</v>
      </c>
      <c r="BJ35" s="54">
        <v>-7174575</v>
      </c>
      <c r="BK35" s="54">
        <v>-1766700</v>
      </c>
      <c r="BL35" s="54">
        <v>-3167601</v>
      </c>
      <c r="BM35" s="54">
        <v>-4809136</v>
      </c>
      <c r="BN35" s="54">
        <v>-5945415</v>
      </c>
      <c r="BO35" s="54">
        <v>-5945415</v>
      </c>
      <c r="BP35" s="54">
        <v>-674047</v>
      </c>
      <c r="BQ35" s="54">
        <v>-1133077</v>
      </c>
      <c r="BR35" s="54">
        <v>-1617254</v>
      </c>
      <c r="BS35" s="127">
        <v>-1722791</v>
      </c>
      <c r="BT35" s="127">
        <v>-1722791</v>
      </c>
      <c r="BU35" s="54">
        <v>-693880</v>
      </c>
      <c r="BV35" s="54">
        <v>-1239772</v>
      </c>
      <c r="BW35" s="54">
        <v>-1465937</v>
      </c>
      <c r="BX35" s="127">
        <v>-3062044</v>
      </c>
    </row>
    <row r="36" spans="1:76" x14ac:dyDescent="0.35">
      <c r="B36" s="23" t="s">
        <v>325</v>
      </c>
      <c r="C36" s="54">
        <v>-4397451.1979999999</v>
      </c>
      <c r="D36" s="54">
        <v>-8197763.9939999999</v>
      </c>
      <c r="E36" s="54">
        <v>-8458490.3159999996</v>
      </c>
      <c r="F36" s="54">
        <f>-8295169.798+42028.785</f>
        <v>-8253141.0130000003</v>
      </c>
      <c r="G36" s="54">
        <v>-8295169.7980000004</v>
      </c>
      <c r="H36" s="54">
        <v>201763.33199999999</v>
      </c>
      <c r="I36" s="54">
        <v>-5212700.0439999998</v>
      </c>
      <c r="J36" s="54">
        <v>-18411901.136999998</v>
      </c>
      <c r="K36" s="54">
        <v>-4496826</v>
      </c>
      <c r="L36" s="54">
        <v>-4496826</v>
      </c>
      <c r="M36" s="54">
        <v>-19759511</v>
      </c>
      <c r="N36" s="54">
        <v>24520442</v>
      </c>
      <c r="O36" s="54">
        <v>13686434</v>
      </c>
      <c r="P36" s="54">
        <v>-27773734</v>
      </c>
      <c r="Q36" s="54">
        <v>-27609694</v>
      </c>
      <c r="R36" s="54">
        <v>-2640773</v>
      </c>
      <c r="S36" s="54" t="s">
        <v>243</v>
      </c>
      <c r="T36" s="54">
        <v>-3665715</v>
      </c>
      <c r="U36" s="54">
        <v>-5892821</v>
      </c>
      <c r="V36" s="54">
        <v>-7188152</v>
      </c>
      <c r="W36" s="55">
        <v>-1650762</v>
      </c>
      <c r="X36" s="55">
        <v>-16992212</v>
      </c>
      <c r="Y36" s="55">
        <v>-17115308</v>
      </c>
      <c r="Z36" s="55">
        <v>-16818476</v>
      </c>
      <c r="AA36" s="55">
        <v>-16818476</v>
      </c>
      <c r="AB36" s="55">
        <v>-100000</v>
      </c>
      <c r="AC36" s="55">
        <v>-1964359</v>
      </c>
      <c r="AD36" s="55">
        <v>-2529171</v>
      </c>
      <c r="AE36" s="55">
        <v>-2529171</v>
      </c>
      <c r="AF36" s="55">
        <v>-2529171</v>
      </c>
      <c r="AG36" s="55" t="s">
        <v>167</v>
      </c>
      <c r="AH36" s="55">
        <v>-913758</v>
      </c>
      <c r="AI36" s="55">
        <v>-913758</v>
      </c>
      <c r="AJ36" s="55">
        <v>-10052515</v>
      </c>
      <c r="AK36" s="55">
        <v>-10052515</v>
      </c>
      <c r="AL36" s="55" t="s">
        <v>167</v>
      </c>
      <c r="AM36" s="55">
        <v>-2128680</v>
      </c>
      <c r="AN36" s="55">
        <v>-2425632</v>
      </c>
      <c r="AO36" s="55">
        <v>-2543190</v>
      </c>
      <c r="AP36" s="55">
        <v>-2459520</v>
      </c>
      <c r="AQ36" s="54" t="s">
        <v>167</v>
      </c>
      <c r="AR36" s="54">
        <v>-400000</v>
      </c>
      <c r="AS36" s="54">
        <v>-400000</v>
      </c>
      <c r="AT36" s="54">
        <v>-17976504</v>
      </c>
      <c r="AU36" s="54">
        <v>-17013964</v>
      </c>
      <c r="AV36" s="54">
        <v>0</v>
      </c>
      <c r="AW36" s="54">
        <v>-1118155</v>
      </c>
      <c r="AX36" s="54">
        <v>-4515655</v>
      </c>
      <c r="AY36" s="54">
        <v>-5582266</v>
      </c>
      <c r="AZ36" s="54">
        <v>-6369655</v>
      </c>
      <c r="BA36" s="54">
        <v>-3449915</v>
      </c>
      <c r="BB36" s="54">
        <v>-3689915</v>
      </c>
      <c r="BC36" s="54">
        <v>-3689915</v>
      </c>
      <c r="BD36" s="54">
        <v>-5318809</v>
      </c>
      <c r="BE36" s="54">
        <v>-5318809</v>
      </c>
      <c r="BF36" s="54">
        <v>27962</v>
      </c>
      <c r="BG36" s="54">
        <v>-2950000</v>
      </c>
      <c r="BH36" s="54">
        <v>-2940000</v>
      </c>
      <c r="BI36" s="54">
        <v>-3040000</v>
      </c>
      <c r="BJ36" s="54">
        <v>-3040000</v>
      </c>
      <c r="BK36" s="54">
        <v>-50000</v>
      </c>
      <c r="BL36" s="54">
        <v>-50000</v>
      </c>
      <c r="BM36" s="54">
        <v>-50000</v>
      </c>
      <c r="BN36" s="54">
        <v>-50000</v>
      </c>
      <c r="BO36" s="54">
        <v>-50000</v>
      </c>
      <c r="BP36" s="54">
        <v>0</v>
      </c>
      <c r="BQ36" s="54">
        <v>0</v>
      </c>
      <c r="BR36" s="54">
        <v>0</v>
      </c>
      <c r="BS36" s="87">
        <v>0</v>
      </c>
      <c r="BT36" s="87">
        <v>0</v>
      </c>
      <c r="BU36" s="54">
        <v>0</v>
      </c>
      <c r="BV36" s="54">
        <v>0</v>
      </c>
      <c r="BW36" s="54">
        <v>0</v>
      </c>
      <c r="BX36" s="87">
        <v>-651381</v>
      </c>
    </row>
    <row r="37" spans="1:76" x14ac:dyDescent="0.35">
      <c r="B37" s="23" t="s">
        <v>326</v>
      </c>
      <c r="C37" s="54"/>
      <c r="D37" s="54"/>
      <c r="E37" s="54"/>
      <c r="F37" s="54"/>
      <c r="G37" s="54"/>
      <c r="H37" s="54"/>
      <c r="I37" s="54"/>
      <c r="J37" s="54"/>
      <c r="K37" s="54"/>
      <c r="L37" s="54"/>
      <c r="M37" s="54"/>
      <c r="N37" s="54"/>
      <c r="O37" s="54"/>
      <c r="P37" s="54"/>
      <c r="Q37" s="54"/>
      <c r="R37" s="54"/>
      <c r="S37" s="54"/>
      <c r="T37" s="54"/>
      <c r="U37" s="54"/>
      <c r="V37" s="54"/>
      <c r="W37" s="55"/>
      <c r="X37" s="55"/>
      <c r="Y37" s="55"/>
      <c r="Z37" s="55"/>
      <c r="AA37" s="55"/>
      <c r="AB37" s="55"/>
      <c r="AC37" s="55"/>
      <c r="AD37" s="55"/>
      <c r="AE37" s="55"/>
      <c r="AF37" s="55"/>
      <c r="AG37" s="55"/>
      <c r="AH37" s="55"/>
      <c r="AI37" s="55"/>
      <c r="AJ37" s="55"/>
      <c r="AK37" s="55"/>
      <c r="AL37" s="55"/>
      <c r="AM37" s="55"/>
      <c r="AN37" s="55"/>
      <c r="AO37" s="55"/>
      <c r="AP37" s="55"/>
      <c r="AQ37" s="54"/>
      <c r="AR37" s="54"/>
      <c r="AS37" s="54"/>
      <c r="AT37" s="54"/>
      <c r="AU37" s="54"/>
      <c r="AV37" s="54"/>
      <c r="AW37" s="54"/>
      <c r="AX37" s="54"/>
      <c r="AY37" s="54"/>
      <c r="AZ37" s="54"/>
      <c r="BA37" s="54"/>
      <c r="BB37" s="54"/>
      <c r="BC37" s="54"/>
      <c r="BD37" s="54"/>
      <c r="BE37" s="54"/>
      <c r="BF37" s="54">
        <v>220000</v>
      </c>
      <c r="BG37" s="54">
        <v>355765.097687984</v>
      </c>
      <c r="BH37" s="54">
        <v>257772</v>
      </c>
      <c r="BI37" s="54">
        <v>264132</v>
      </c>
      <c r="BJ37" s="54">
        <v>264132</v>
      </c>
      <c r="BK37" s="54">
        <v>2670</v>
      </c>
      <c r="BL37" s="54">
        <v>8443</v>
      </c>
      <c r="BM37" s="54">
        <v>18639</v>
      </c>
      <c r="BN37" s="54">
        <v>139185</v>
      </c>
      <c r="BO37" s="54">
        <v>139185</v>
      </c>
      <c r="BP37" s="54">
        <v>2830</v>
      </c>
      <c r="BQ37" s="54">
        <v>14275</v>
      </c>
      <c r="BR37" s="54">
        <v>31763</v>
      </c>
      <c r="BS37" s="127">
        <v>36201</v>
      </c>
      <c r="BT37" s="127">
        <v>36201</v>
      </c>
      <c r="BU37" s="54">
        <v>4953</v>
      </c>
      <c r="BV37" s="54">
        <v>9747</v>
      </c>
      <c r="BW37" s="54">
        <v>274857</v>
      </c>
      <c r="BX37" s="127">
        <v>530225</v>
      </c>
    </row>
    <row r="38" spans="1:76" x14ac:dyDescent="0.35">
      <c r="B38" s="29" t="s">
        <v>387</v>
      </c>
      <c r="C38" s="54"/>
      <c r="D38" s="54"/>
      <c r="E38" s="54"/>
      <c r="F38" s="54"/>
      <c r="G38" s="54"/>
      <c r="H38" s="54"/>
      <c r="I38" s="54"/>
      <c r="J38" s="54"/>
      <c r="K38" s="54"/>
      <c r="L38" s="54"/>
      <c r="M38" s="54"/>
      <c r="N38" s="54"/>
      <c r="O38" s="54"/>
      <c r="P38" s="54"/>
      <c r="Q38" s="54"/>
      <c r="R38" s="54"/>
      <c r="S38" s="54"/>
      <c r="T38" s="54"/>
      <c r="U38" s="54"/>
      <c r="V38" s="54"/>
      <c r="W38" s="55"/>
      <c r="X38" s="55"/>
      <c r="Y38" s="55"/>
      <c r="Z38" s="55"/>
      <c r="AA38" s="55"/>
      <c r="AB38" s="55"/>
      <c r="AC38" s="55"/>
      <c r="AD38" s="55"/>
      <c r="AE38" s="55"/>
      <c r="AF38" s="55"/>
      <c r="AG38" s="55"/>
      <c r="AH38" s="55"/>
      <c r="AI38" s="55"/>
      <c r="AJ38" s="55"/>
      <c r="AK38" s="55"/>
      <c r="AL38" s="55"/>
      <c r="AM38" s="55"/>
      <c r="AN38" s="55"/>
      <c r="AO38" s="55"/>
      <c r="AP38" s="55"/>
      <c r="AQ38" s="54"/>
      <c r="AR38" s="54"/>
      <c r="AS38" s="54"/>
      <c r="AT38" s="54"/>
      <c r="AU38" s="54"/>
      <c r="AV38" s="54"/>
      <c r="AW38" s="54"/>
      <c r="AX38" s="54"/>
      <c r="AY38" s="54"/>
      <c r="AZ38" s="54"/>
      <c r="BA38" s="54"/>
      <c r="BB38" s="54"/>
      <c r="BC38" s="54"/>
      <c r="BD38" s="54"/>
      <c r="BE38" s="54"/>
      <c r="BF38" s="54"/>
      <c r="BG38" s="54"/>
      <c r="BH38" s="54"/>
      <c r="BI38" s="54"/>
      <c r="BJ38" s="54"/>
      <c r="BK38" s="54">
        <v>0</v>
      </c>
      <c r="BL38" s="54">
        <v>0</v>
      </c>
      <c r="BM38" s="54">
        <v>1167462</v>
      </c>
      <c r="BN38" s="54">
        <v>1167462</v>
      </c>
      <c r="BO38" s="54">
        <v>1167462</v>
      </c>
      <c r="BP38" s="54">
        <v>0</v>
      </c>
      <c r="BQ38" s="54">
        <v>0</v>
      </c>
      <c r="BR38" s="54">
        <v>0</v>
      </c>
      <c r="BS38" s="87">
        <v>0</v>
      </c>
      <c r="BT38" s="87">
        <v>0</v>
      </c>
      <c r="BU38" s="54">
        <v>0</v>
      </c>
      <c r="BV38" s="54">
        <v>0</v>
      </c>
      <c r="BW38" s="54">
        <v>0</v>
      </c>
      <c r="BX38" s="87">
        <v>0</v>
      </c>
    </row>
    <row r="39" spans="1:76" x14ac:dyDescent="0.35">
      <c r="B39" s="23" t="s">
        <v>308</v>
      </c>
      <c r="C39" s="54"/>
      <c r="D39" s="54"/>
      <c r="E39" s="54"/>
      <c r="F39" s="54"/>
      <c r="G39" s="54"/>
      <c r="H39" s="54"/>
      <c r="I39" s="54"/>
      <c r="J39" s="54"/>
      <c r="K39" s="54"/>
      <c r="L39" s="54"/>
      <c r="M39" s="54"/>
      <c r="N39" s="54"/>
      <c r="O39" s="54"/>
      <c r="P39" s="54"/>
      <c r="Q39" s="54"/>
      <c r="R39" s="54"/>
      <c r="S39" s="54"/>
      <c r="T39" s="54"/>
      <c r="U39" s="54"/>
      <c r="V39" s="54"/>
      <c r="W39" s="55"/>
      <c r="X39" s="55"/>
      <c r="Y39" s="55"/>
      <c r="Z39" s="55"/>
      <c r="AA39" s="55"/>
      <c r="AB39" s="55"/>
      <c r="AC39" s="55"/>
      <c r="AD39" s="55"/>
      <c r="AE39" s="55"/>
      <c r="AF39" s="55"/>
      <c r="AG39" s="55"/>
      <c r="AH39" s="55"/>
      <c r="AI39" s="55"/>
      <c r="AJ39" s="55"/>
      <c r="AK39" s="55"/>
      <c r="AL39" s="55"/>
      <c r="AM39" s="55"/>
      <c r="AN39" s="55"/>
      <c r="AO39" s="55"/>
      <c r="AP39" s="55"/>
      <c r="AQ39" s="54"/>
      <c r="AR39" s="54"/>
      <c r="AS39" s="54"/>
      <c r="AT39" s="54"/>
      <c r="AU39" s="54"/>
      <c r="AV39" s="54"/>
      <c r="AW39" s="54">
        <v>-645926</v>
      </c>
      <c r="AX39" s="54">
        <v>-838954</v>
      </c>
      <c r="AY39" s="54">
        <v>-1069549</v>
      </c>
      <c r="AZ39" s="54"/>
      <c r="BA39" s="54">
        <v>-218950</v>
      </c>
      <c r="BB39" s="54">
        <v>-1219188</v>
      </c>
      <c r="BC39" s="54">
        <v>-1219188</v>
      </c>
      <c r="BD39" s="54">
        <v>-1219188</v>
      </c>
      <c r="BE39" s="54">
        <v>-1219188</v>
      </c>
      <c r="BF39" s="54"/>
      <c r="BG39" s="54"/>
      <c r="BH39" s="54"/>
      <c r="BI39" s="54">
        <v>0</v>
      </c>
      <c r="BJ39" s="54">
        <v>0</v>
      </c>
      <c r="BK39" s="54">
        <v>0</v>
      </c>
      <c r="BL39" s="54">
        <v>0</v>
      </c>
      <c r="BM39" s="54">
        <v>0</v>
      </c>
      <c r="BN39" s="54">
        <v>0</v>
      </c>
      <c r="BO39" s="54">
        <v>0</v>
      </c>
      <c r="BP39" s="54">
        <v>0</v>
      </c>
      <c r="BQ39" s="54">
        <v>0</v>
      </c>
      <c r="BR39" s="54">
        <v>0</v>
      </c>
      <c r="BS39" s="87">
        <v>0</v>
      </c>
      <c r="BT39" s="87">
        <v>0</v>
      </c>
      <c r="BU39" s="54">
        <v>0</v>
      </c>
      <c r="BV39" s="54">
        <v>0</v>
      </c>
      <c r="BW39" s="54">
        <v>-300000</v>
      </c>
      <c r="BX39" s="87">
        <v>0</v>
      </c>
    </row>
    <row r="40" spans="1:76" x14ac:dyDescent="0.35">
      <c r="B40" s="23" t="s">
        <v>150</v>
      </c>
      <c r="C40" s="54"/>
      <c r="D40" s="54"/>
      <c r="E40" s="54"/>
      <c r="F40" s="54"/>
      <c r="G40" s="54"/>
      <c r="H40" s="54"/>
      <c r="I40" s="54"/>
      <c r="J40" s="54"/>
      <c r="K40" s="54"/>
      <c r="L40" s="54"/>
      <c r="M40" s="54"/>
      <c r="N40" s="54"/>
      <c r="O40" s="54"/>
      <c r="P40" s="54"/>
      <c r="Q40" s="54"/>
      <c r="R40" s="54"/>
      <c r="S40" s="54"/>
      <c r="T40" s="54"/>
      <c r="U40" s="54"/>
      <c r="V40" s="54"/>
      <c r="W40" s="55"/>
      <c r="X40" s="55" t="s">
        <v>167</v>
      </c>
      <c r="Y40" s="55"/>
      <c r="Z40" s="55" t="s">
        <v>167</v>
      </c>
      <c r="AA40" s="55" t="s">
        <v>167</v>
      </c>
      <c r="AB40" s="55">
        <v>-700000</v>
      </c>
      <c r="AC40" s="55" t="s">
        <v>167</v>
      </c>
      <c r="AD40" s="55"/>
      <c r="AE40" s="55" t="s">
        <v>167</v>
      </c>
      <c r="AF40" s="55" t="s">
        <v>167</v>
      </c>
      <c r="AG40" s="55" t="s">
        <v>167</v>
      </c>
      <c r="AH40" s="55" t="s">
        <v>167</v>
      </c>
      <c r="AI40" s="55" t="s">
        <v>167</v>
      </c>
      <c r="AJ40" s="55">
        <v>60000</v>
      </c>
      <c r="AK40" s="55">
        <v>60000</v>
      </c>
      <c r="AL40" s="55">
        <v>810325</v>
      </c>
      <c r="AM40" s="55">
        <v>1003306</v>
      </c>
      <c r="AN40" s="55">
        <v>1282508</v>
      </c>
      <c r="AO40" s="55">
        <v>1391101</v>
      </c>
      <c r="AP40" s="55">
        <v>1391101</v>
      </c>
      <c r="AQ40" s="54" t="s">
        <v>167</v>
      </c>
      <c r="AR40" s="54" t="s">
        <v>167</v>
      </c>
      <c r="AS40" s="54">
        <v>50575</v>
      </c>
      <c r="AT40" s="54">
        <v>250575</v>
      </c>
      <c r="AU40" s="54">
        <v>250575</v>
      </c>
      <c r="AV40" s="54">
        <v>0</v>
      </c>
      <c r="AW40" s="54"/>
      <c r="AX40" s="54">
        <v>804885</v>
      </c>
      <c r="AY40" s="54">
        <v>2243202</v>
      </c>
      <c r="AZ40" s="54">
        <v>2243202</v>
      </c>
      <c r="BA40" s="54">
        <v>273403</v>
      </c>
      <c r="BB40" s="54">
        <v>273403</v>
      </c>
      <c r="BC40" s="54">
        <v>273403</v>
      </c>
      <c r="BD40" s="54">
        <v>373402</v>
      </c>
      <c r="BE40" s="54">
        <v>373402</v>
      </c>
      <c r="BF40" s="54"/>
      <c r="BG40" s="54">
        <v>60000</v>
      </c>
      <c r="BH40" s="54">
        <v>458988</v>
      </c>
      <c r="BI40" s="54">
        <v>1067348</v>
      </c>
      <c r="BJ40" s="54">
        <v>1067348</v>
      </c>
      <c r="BK40" s="54">
        <v>0</v>
      </c>
      <c r="BL40" s="54">
        <v>3608683</v>
      </c>
      <c r="BM40" s="54">
        <v>3608683</v>
      </c>
      <c r="BN40" s="54">
        <v>3608683</v>
      </c>
      <c r="BO40" s="54">
        <v>3608683</v>
      </c>
      <c r="BP40" s="54">
        <v>0</v>
      </c>
      <c r="BQ40" s="54">
        <v>0</v>
      </c>
      <c r="BR40" s="54">
        <v>0</v>
      </c>
      <c r="BS40" s="127">
        <v>178466</v>
      </c>
      <c r="BT40" s="127">
        <v>178466</v>
      </c>
      <c r="BU40" s="54">
        <v>0</v>
      </c>
      <c r="BV40" s="54">
        <v>0</v>
      </c>
      <c r="BW40" s="54">
        <v>0</v>
      </c>
      <c r="BX40" s="127">
        <v>26667</v>
      </c>
    </row>
    <row r="41" spans="1:76" x14ac:dyDescent="0.35">
      <c r="B41" s="23" t="s">
        <v>151</v>
      </c>
      <c r="C41" s="54"/>
      <c r="D41" s="54"/>
      <c r="E41" s="54"/>
      <c r="F41" s="54"/>
      <c r="G41" s="54"/>
      <c r="H41" s="54"/>
      <c r="I41" s="54"/>
      <c r="J41" s="54"/>
      <c r="K41" s="54"/>
      <c r="L41" s="54">
        <v>-1438723</v>
      </c>
      <c r="M41" s="54"/>
      <c r="N41" s="54"/>
      <c r="O41" s="54"/>
      <c r="P41" s="54">
        <v>963121</v>
      </c>
      <c r="Q41" s="54">
        <v>963121</v>
      </c>
      <c r="R41" s="54">
        <v>399148</v>
      </c>
      <c r="S41" s="54">
        <v>-28920789</v>
      </c>
      <c r="T41" s="54">
        <v>-23933371</v>
      </c>
      <c r="U41" s="54">
        <v>-19053339</v>
      </c>
      <c r="V41" s="54">
        <v>-18804470</v>
      </c>
      <c r="W41" s="55">
        <v>-6774265</v>
      </c>
      <c r="X41" s="55">
        <v>12610424</v>
      </c>
      <c r="Y41" s="55">
        <v>14945756</v>
      </c>
      <c r="Z41" s="55">
        <v>17227850</v>
      </c>
      <c r="AA41" s="55">
        <v>17227850</v>
      </c>
      <c r="AB41" s="55">
        <v>1023570</v>
      </c>
      <c r="AC41" s="55">
        <v>-2054382</v>
      </c>
      <c r="AD41" s="55">
        <v>-227837</v>
      </c>
      <c r="AE41" s="55">
        <v>344495</v>
      </c>
      <c r="AF41" s="55">
        <v>0</v>
      </c>
      <c r="AG41" s="55">
        <v>36662</v>
      </c>
      <c r="AH41" s="55">
        <v>-166408</v>
      </c>
      <c r="AI41" s="55">
        <v>559136</v>
      </c>
      <c r="AJ41" s="55">
        <v>-449903</v>
      </c>
      <c r="AK41" s="55">
        <v>0</v>
      </c>
      <c r="AL41" s="55">
        <v>2406004</v>
      </c>
      <c r="AM41" s="55">
        <v>2406004</v>
      </c>
      <c r="AN41" s="55">
        <v>2406004</v>
      </c>
      <c r="AO41" s="55">
        <v>2406004</v>
      </c>
      <c r="AP41" s="55">
        <v>0</v>
      </c>
      <c r="AQ41" s="54" t="s">
        <v>167</v>
      </c>
      <c r="AR41" s="54" t="s">
        <v>167</v>
      </c>
      <c r="AS41" s="54" t="s">
        <v>167</v>
      </c>
      <c r="AT41" s="54">
        <v>0</v>
      </c>
      <c r="AU41" s="54">
        <v>0</v>
      </c>
      <c r="AV41" s="54">
        <v>0</v>
      </c>
      <c r="AW41" s="54"/>
      <c r="AX41" s="54"/>
      <c r="AY41" s="54"/>
      <c r="AZ41" s="54"/>
      <c r="BA41" s="54">
        <v>-948514</v>
      </c>
      <c r="BB41" s="54"/>
      <c r="BC41" s="54"/>
      <c r="BD41" s="54"/>
      <c r="BE41" s="54"/>
      <c r="BF41" s="54"/>
      <c r="BG41" s="54"/>
      <c r="BI41" s="54">
        <v>0</v>
      </c>
      <c r="BJ41" s="54">
        <v>0</v>
      </c>
      <c r="BK41" s="54">
        <v>0</v>
      </c>
      <c r="BL41" s="54">
        <v>0</v>
      </c>
      <c r="BM41" s="54">
        <v>0</v>
      </c>
      <c r="BN41" s="54">
        <v>0</v>
      </c>
      <c r="BO41" s="54">
        <v>0</v>
      </c>
      <c r="BP41" s="54">
        <v>0</v>
      </c>
      <c r="BQ41" s="54">
        <v>0</v>
      </c>
      <c r="BR41" s="54">
        <v>0</v>
      </c>
      <c r="BS41" s="87">
        <v>0</v>
      </c>
      <c r="BT41" s="87">
        <v>0</v>
      </c>
      <c r="BU41" s="54">
        <v>0</v>
      </c>
      <c r="BV41" s="54">
        <v>0</v>
      </c>
      <c r="BW41" s="54">
        <v>0</v>
      </c>
      <c r="BX41" s="87">
        <v>0</v>
      </c>
    </row>
    <row r="42" spans="1:76" x14ac:dyDescent="0.35">
      <c r="B42" s="23" t="s">
        <v>298</v>
      </c>
      <c r="C42" s="54"/>
      <c r="D42" s="54"/>
      <c r="E42" s="54"/>
      <c r="F42" s="54"/>
      <c r="G42" s="54"/>
      <c r="H42" s="54"/>
      <c r="I42" s="54"/>
      <c r="J42" s="54"/>
      <c r="K42" s="54"/>
      <c r="L42" s="54"/>
      <c r="M42" s="54"/>
      <c r="N42" s="54"/>
      <c r="O42" s="54"/>
      <c r="P42" s="54"/>
      <c r="Q42" s="54"/>
      <c r="R42" s="54"/>
      <c r="S42" s="54"/>
      <c r="T42" s="54"/>
      <c r="U42" s="54"/>
      <c r="V42" s="54"/>
      <c r="W42" s="55"/>
      <c r="X42" s="55"/>
      <c r="Y42" s="55"/>
      <c r="Z42" s="55"/>
      <c r="AA42" s="55"/>
      <c r="AB42" s="55"/>
      <c r="AC42" s="55"/>
      <c r="AD42" s="55"/>
      <c r="AE42" s="55"/>
      <c r="AF42" s="55"/>
      <c r="AG42" s="55"/>
      <c r="AH42" s="55"/>
      <c r="AI42" s="55"/>
      <c r="AJ42" s="55"/>
      <c r="AK42" s="55">
        <v>-41200</v>
      </c>
      <c r="AL42" s="55"/>
      <c r="AM42" s="55"/>
      <c r="AN42" s="55"/>
      <c r="AO42" s="55"/>
      <c r="AP42" s="55">
        <v>-1192000</v>
      </c>
      <c r="AQ42" s="54"/>
      <c r="AR42" s="54"/>
      <c r="AS42" s="54"/>
      <c r="AT42" s="54"/>
      <c r="AU42" s="54">
        <v>-2124476</v>
      </c>
      <c r="AV42" s="54"/>
      <c r="AW42" s="54"/>
      <c r="AX42" s="54"/>
      <c r="AY42" s="54"/>
      <c r="AZ42" s="54">
        <v>-1069549</v>
      </c>
      <c r="BA42" s="54"/>
      <c r="BB42" s="54">
        <v>-512698</v>
      </c>
      <c r="BC42" s="54">
        <v>-823710</v>
      </c>
      <c r="BD42" s="54">
        <v>-1286700</v>
      </c>
      <c r="BE42" s="54">
        <v>-1286700</v>
      </c>
      <c r="BF42" s="54">
        <v>-306996</v>
      </c>
      <c r="BG42" s="54">
        <v>-628425.97045000002</v>
      </c>
      <c r="BH42" s="54">
        <v>-950080</v>
      </c>
      <c r="BI42" s="54">
        <v>-1203179</v>
      </c>
      <c r="BJ42" s="54">
        <v>-1203179</v>
      </c>
      <c r="BK42" s="54">
        <v>-438987</v>
      </c>
      <c r="BL42" s="54">
        <v>-871682</v>
      </c>
      <c r="BM42" s="54">
        <v>-1322853</v>
      </c>
      <c r="BN42" s="54">
        <v>-1867316</v>
      </c>
      <c r="BO42" s="54">
        <v>-1867316</v>
      </c>
      <c r="BP42" s="54">
        <v>-551047</v>
      </c>
      <c r="BQ42" s="54">
        <v>-1012821</v>
      </c>
      <c r="BR42" s="54">
        <v>-1413815</v>
      </c>
      <c r="BS42" s="127">
        <v>-1696688</v>
      </c>
      <c r="BT42" s="127">
        <v>-1696688</v>
      </c>
      <c r="BU42" s="54">
        <v>-197366</v>
      </c>
      <c r="BV42" s="54">
        <v>-379213</v>
      </c>
      <c r="BW42" s="54">
        <v>-536845</v>
      </c>
      <c r="BX42" s="127">
        <v>-648239</v>
      </c>
    </row>
    <row r="43" spans="1:76" x14ac:dyDescent="0.35">
      <c r="B43" s="23" t="s">
        <v>358</v>
      </c>
      <c r="C43" s="54"/>
      <c r="D43" s="54"/>
      <c r="E43" s="54"/>
      <c r="F43" s="54"/>
      <c r="G43" s="54"/>
      <c r="H43" s="54"/>
      <c r="I43" s="54"/>
      <c r="J43" s="54"/>
      <c r="K43" s="54"/>
      <c r="L43" s="54">
        <v>-416</v>
      </c>
      <c r="M43" s="54"/>
      <c r="N43" s="54"/>
      <c r="O43" s="54"/>
      <c r="P43" s="54"/>
      <c r="Q43" s="54"/>
      <c r="R43" s="54"/>
      <c r="S43" s="54"/>
      <c r="T43" s="54"/>
      <c r="U43" s="54"/>
      <c r="V43" s="54"/>
      <c r="W43" s="55"/>
      <c r="X43" s="55"/>
      <c r="Y43" s="55"/>
      <c r="Z43" s="55"/>
      <c r="AA43" s="55"/>
      <c r="AB43" s="55"/>
      <c r="AC43" s="55"/>
      <c r="AD43" s="55"/>
      <c r="AE43" s="55"/>
      <c r="AF43" s="55"/>
      <c r="AG43" s="55"/>
      <c r="AH43" s="55"/>
      <c r="AI43" s="55"/>
      <c r="AJ43" s="55"/>
      <c r="AK43" s="55"/>
      <c r="AL43" s="55"/>
      <c r="AM43" s="55"/>
      <c r="AN43" s="55"/>
      <c r="AO43" s="55"/>
      <c r="AP43" s="55"/>
      <c r="AQ43" s="54"/>
      <c r="AR43" s="54"/>
      <c r="AS43" s="54"/>
      <c r="AT43" s="54"/>
      <c r="AU43" s="54"/>
      <c r="AV43" s="54"/>
      <c r="AW43" s="54"/>
      <c r="AX43" s="54"/>
      <c r="AY43" s="54"/>
      <c r="AZ43" s="54"/>
      <c r="BA43" s="54"/>
      <c r="BB43" s="54"/>
      <c r="BC43" s="54"/>
      <c r="BD43" s="54"/>
      <c r="BE43" s="54"/>
      <c r="BF43" s="54"/>
      <c r="BG43" s="54"/>
      <c r="BH43" s="54">
        <v>-35252</v>
      </c>
      <c r="BI43" s="54">
        <v>-35254</v>
      </c>
      <c r="BJ43" s="54">
        <v>-35254</v>
      </c>
      <c r="BK43" s="54">
        <v>0</v>
      </c>
      <c r="BL43" s="54">
        <v>0</v>
      </c>
      <c r="BM43" s="54">
        <v>-15594</v>
      </c>
      <c r="BN43" s="54">
        <v>-15594</v>
      </c>
      <c r="BO43" s="54">
        <v>-15594</v>
      </c>
      <c r="BP43" s="54">
        <v>0</v>
      </c>
      <c r="BQ43" s="54">
        <v>0</v>
      </c>
      <c r="BR43" s="54">
        <v>-1250003</v>
      </c>
      <c r="BS43" s="127">
        <v>-891660</v>
      </c>
      <c r="BT43" s="127">
        <v>-28616</v>
      </c>
      <c r="BU43" s="54">
        <v>0</v>
      </c>
      <c r="BV43" s="54">
        <v>0</v>
      </c>
      <c r="BW43" s="54">
        <v>-9487</v>
      </c>
      <c r="BX43" s="127">
        <v>-9488</v>
      </c>
    </row>
    <row r="44" spans="1:76" x14ac:dyDescent="0.35">
      <c r="B44" s="23" t="s">
        <v>152</v>
      </c>
      <c r="C44" s="54"/>
      <c r="D44" s="54"/>
      <c r="E44" s="54"/>
      <c r="F44" s="54"/>
      <c r="G44" s="54"/>
      <c r="H44" s="54"/>
      <c r="I44" s="54"/>
      <c r="J44" s="54"/>
      <c r="K44" s="54"/>
      <c r="L44" s="54"/>
      <c r="M44" s="54"/>
      <c r="N44" s="54"/>
      <c r="O44" s="54">
        <v>1182596</v>
      </c>
      <c r="P44" s="54">
        <v>-1779493</v>
      </c>
      <c r="Q44" s="54">
        <v>-1469976</v>
      </c>
      <c r="R44" s="54"/>
      <c r="S44" s="54"/>
      <c r="T44" s="54"/>
      <c r="U44" s="54"/>
      <c r="V44" s="54">
        <v>-248970</v>
      </c>
      <c r="W44" s="55"/>
      <c r="X44" s="55" t="s">
        <v>167</v>
      </c>
      <c r="Y44" s="55"/>
      <c r="Z44" s="55" t="s">
        <v>167</v>
      </c>
      <c r="AA44" s="55" t="s">
        <v>167</v>
      </c>
      <c r="AB44" s="55" t="s">
        <v>167</v>
      </c>
      <c r="AC44" s="55" t="s">
        <v>167</v>
      </c>
      <c r="AD44" s="55"/>
      <c r="AE44" s="55"/>
      <c r="AF44" s="55"/>
      <c r="AG44" s="55"/>
      <c r="AH44" s="55"/>
      <c r="AI44" s="55"/>
      <c r="AJ44" s="55" t="s">
        <v>167</v>
      </c>
      <c r="AK44" s="55" t="s">
        <v>167</v>
      </c>
      <c r="AL44" s="55" t="s">
        <v>167</v>
      </c>
      <c r="AM44" s="55"/>
      <c r="AN44" s="55"/>
      <c r="AO44" s="55"/>
      <c r="AP44" s="55">
        <v>-1121482</v>
      </c>
      <c r="AQ44" s="54">
        <v>-1426875</v>
      </c>
      <c r="AR44" s="54">
        <v>-1434916</v>
      </c>
      <c r="AS44" s="54">
        <v>-1491903</v>
      </c>
      <c r="AT44" s="54">
        <v>-1477179</v>
      </c>
      <c r="AU44" s="54">
        <v>-2036500</v>
      </c>
      <c r="AV44" s="54">
        <v>0</v>
      </c>
      <c r="AW44" s="54">
        <v>0</v>
      </c>
      <c r="AX44" s="54">
        <v>0</v>
      </c>
      <c r="AY44" s="54"/>
      <c r="AZ44" s="54"/>
      <c r="BA44" s="54"/>
      <c r="BB44" s="54"/>
      <c r="BC44" s="54"/>
      <c r="BD44" s="54"/>
      <c r="BE44" s="54"/>
      <c r="BF44" s="54"/>
      <c r="BG44" s="54"/>
      <c r="BI44" s="54">
        <v>0</v>
      </c>
      <c r="BJ44" s="54">
        <v>0</v>
      </c>
      <c r="BK44" s="54">
        <v>0</v>
      </c>
      <c r="BL44" s="54">
        <v>0</v>
      </c>
      <c r="BM44" s="163">
        <v>0</v>
      </c>
      <c r="BN44" s="163">
        <v>0</v>
      </c>
      <c r="BO44" s="163">
        <v>0</v>
      </c>
      <c r="BP44" s="54">
        <v>0</v>
      </c>
      <c r="BQ44" s="54">
        <v>0</v>
      </c>
      <c r="BR44" s="163">
        <v>0</v>
      </c>
      <c r="BS44" s="187">
        <v>0</v>
      </c>
      <c r="BT44" s="127">
        <v>0</v>
      </c>
      <c r="BU44" s="54">
        <v>0</v>
      </c>
      <c r="BV44" s="54">
        <v>0</v>
      </c>
      <c r="BW44" s="163">
        <v>0</v>
      </c>
      <c r="BX44" s="187">
        <v>0</v>
      </c>
    </row>
    <row r="45" spans="1:76" x14ac:dyDescent="0.35">
      <c r="B45" s="23" t="s">
        <v>292</v>
      </c>
      <c r="C45" s="47"/>
      <c r="D45" s="47"/>
      <c r="E45" s="47"/>
      <c r="F45" s="47"/>
      <c r="G45" s="47"/>
      <c r="H45" s="47"/>
      <c r="I45" s="47"/>
      <c r="J45" s="47"/>
      <c r="K45" s="47"/>
      <c r="L45" s="47"/>
      <c r="M45" s="47"/>
      <c r="N45" s="47"/>
      <c r="O45" s="47"/>
      <c r="P45" s="47"/>
      <c r="Q45" s="47"/>
      <c r="R45" s="47"/>
      <c r="S45" s="47"/>
      <c r="T45" s="47"/>
      <c r="U45" s="47"/>
      <c r="V45" s="47"/>
      <c r="W45" s="123"/>
      <c r="X45" s="123" t="s">
        <v>167</v>
      </c>
      <c r="Y45" s="123"/>
      <c r="Z45" s="123" t="s">
        <v>167</v>
      </c>
      <c r="AA45" s="123" t="s">
        <v>167</v>
      </c>
      <c r="AB45" s="123" t="s">
        <v>167</v>
      </c>
      <c r="AC45" s="123" t="s">
        <v>167</v>
      </c>
      <c r="AD45" s="123"/>
      <c r="AE45" s="123"/>
      <c r="AF45" s="123"/>
      <c r="AG45" s="123"/>
      <c r="AH45" s="123"/>
      <c r="AI45" s="123" t="s">
        <v>167</v>
      </c>
      <c r="AJ45" s="123" t="s">
        <v>167</v>
      </c>
      <c r="AK45" s="123" t="s">
        <v>167</v>
      </c>
      <c r="AL45" s="123" t="s">
        <v>167</v>
      </c>
      <c r="AM45" s="123"/>
      <c r="AN45" s="123">
        <v>25953</v>
      </c>
      <c r="AO45" s="123"/>
      <c r="AP45" s="123"/>
      <c r="AQ45" s="47"/>
      <c r="AR45" s="47"/>
      <c r="AS45" s="47" t="s">
        <v>167</v>
      </c>
      <c r="AT45" s="47"/>
      <c r="AU45" s="47">
        <v>-601077</v>
      </c>
      <c r="AV45" s="54">
        <v>-1233329</v>
      </c>
      <c r="AW45" s="54">
        <v>-1233329</v>
      </c>
      <c r="AX45" s="47"/>
      <c r="AY45" s="47"/>
      <c r="AZ45" s="47"/>
      <c r="BA45" s="54"/>
      <c r="BB45" s="54"/>
      <c r="BC45" s="54"/>
      <c r="BD45" s="54"/>
      <c r="BE45" s="54">
        <v>-2850481</v>
      </c>
      <c r="BF45" s="54"/>
      <c r="BG45" s="54"/>
      <c r="BH45" s="54"/>
      <c r="BI45" s="54">
        <v>0</v>
      </c>
      <c r="BJ45" s="54">
        <v>0</v>
      </c>
      <c r="BK45" s="54">
        <v>0</v>
      </c>
      <c r="BL45" s="54">
        <v>0</v>
      </c>
      <c r="BM45" s="54">
        <v>0</v>
      </c>
      <c r="BN45" s="54">
        <v>0</v>
      </c>
      <c r="BO45" s="54">
        <v>0</v>
      </c>
      <c r="BP45" s="54">
        <v>0</v>
      </c>
      <c r="BQ45" s="54">
        <v>0</v>
      </c>
      <c r="BR45" s="54">
        <v>0</v>
      </c>
      <c r="BS45" s="87">
        <v>0</v>
      </c>
      <c r="BT45" s="127">
        <v>0</v>
      </c>
      <c r="BU45" s="54">
        <v>0</v>
      </c>
      <c r="BV45" s="54">
        <v>0</v>
      </c>
      <c r="BW45" s="54">
        <v>0</v>
      </c>
      <c r="BX45" s="87">
        <v>0</v>
      </c>
    </row>
    <row r="46" spans="1:76" x14ac:dyDescent="0.35">
      <c r="B46" s="23" t="s">
        <v>300</v>
      </c>
      <c r="C46" s="47"/>
      <c r="D46" s="47"/>
      <c r="E46" s="47"/>
      <c r="F46" s="47"/>
      <c r="G46" s="47"/>
      <c r="H46" s="47"/>
      <c r="I46" s="47"/>
      <c r="J46" s="47"/>
      <c r="K46" s="47"/>
      <c r="L46" s="47"/>
      <c r="M46" s="47"/>
      <c r="N46" s="47"/>
      <c r="O46" s="47"/>
      <c r="P46" s="47"/>
      <c r="Q46" s="47"/>
      <c r="R46" s="47"/>
      <c r="S46" s="47"/>
      <c r="T46" s="47"/>
      <c r="U46" s="47"/>
      <c r="V46" s="47"/>
      <c r="W46" s="123"/>
      <c r="X46" s="123"/>
      <c r="Y46" s="123"/>
      <c r="Z46" s="123"/>
      <c r="AA46" s="123">
        <v>-138564</v>
      </c>
      <c r="AB46" s="123"/>
      <c r="AC46" s="123"/>
      <c r="AD46" s="123"/>
      <c r="AE46" s="123"/>
      <c r="AF46" s="123">
        <v>87180</v>
      </c>
      <c r="AG46" s="123"/>
      <c r="AH46" s="123"/>
      <c r="AI46" s="123"/>
      <c r="AJ46" s="123"/>
      <c r="AK46" s="123">
        <v>458272</v>
      </c>
      <c r="AL46" s="123"/>
      <c r="AM46" s="123"/>
      <c r="AN46" s="123"/>
      <c r="AO46" s="123"/>
      <c r="AP46" s="123"/>
      <c r="AQ46" s="47"/>
      <c r="AR46" s="47"/>
      <c r="AS46" s="47"/>
      <c r="AT46" s="47"/>
      <c r="AU46" s="47"/>
      <c r="AV46" s="54"/>
      <c r="AW46" s="54"/>
      <c r="AX46" s="47"/>
      <c r="AY46" s="54">
        <v>-51510</v>
      </c>
      <c r="AZ46" s="54">
        <v>0</v>
      </c>
      <c r="BA46" s="54"/>
      <c r="BB46" s="54"/>
      <c r="BC46" s="54"/>
      <c r="BD46" s="54"/>
      <c r="BE46" s="54"/>
      <c r="BF46" s="54"/>
      <c r="BG46" s="54"/>
      <c r="BH46" s="54"/>
      <c r="BI46" s="54">
        <v>0</v>
      </c>
      <c r="BJ46" s="54">
        <v>0</v>
      </c>
      <c r="BK46" s="54">
        <v>0</v>
      </c>
      <c r="BL46" s="54">
        <v>0</v>
      </c>
      <c r="BM46" s="54">
        <v>0</v>
      </c>
      <c r="BN46" s="54">
        <v>0</v>
      </c>
      <c r="BO46" s="54">
        <v>0</v>
      </c>
      <c r="BP46" s="54">
        <v>0</v>
      </c>
      <c r="BQ46" s="54">
        <v>0</v>
      </c>
      <c r="BR46" s="54">
        <v>0</v>
      </c>
      <c r="BS46" s="87">
        <v>0</v>
      </c>
      <c r="BT46" s="127">
        <v>0</v>
      </c>
      <c r="BU46" s="54">
        <v>0</v>
      </c>
      <c r="BV46" s="54">
        <v>0</v>
      </c>
      <c r="BW46" s="54">
        <v>0</v>
      </c>
      <c r="BX46" s="87">
        <v>0</v>
      </c>
    </row>
    <row r="47" spans="1:76" x14ac:dyDescent="0.35">
      <c r="B47" s="182" t="s">
        <v>356</v>
      </c>
      <c r="C47" s="47"/>
      <c r="D47" s="47"/>
      <c r="E47" s="47"/>
      <c r="F47" s="47"/>
      <c r="G47" s="47"/>
      <c r="H47" s="47"/>
      <c r="I47" s="47"/>
      <c r="J47" s="47"/>
      <c r="K47" s="47"/>
      <c r="L47" s="47"/>
      <c r="M47" s="47"/>
      <c r="N47" s="47"/>
      <c r="O47" s="47"/>
      <c r="P47" s="47"/>
      <c r="Q47" s="47"/>
      <c r="R47" s="47"/>
      <c r="S47" s="47"/>
      <c r="T47" s="47"/>
      <c r="U47" s="47"/>
      <c r="V47" s="47"/>
      <c r="W47" s="123"/>
      <c r="X47" s="123"/>
      <c r="Y47" s="123"/>
      <c r="Z47" s="123"/>
      <c r="AA47" s="123"/>
      <c r="AB47" s="123"/>
      <c r="AC47" s="123"/>
      <c r="AD47" s="123"/>
      <c r="AE47" s="123"/>
      <c r="AF47" s="123"/>
      <c r="AG47" s="123"/>
      <c r="AH47" s="123"/>
      <c r="AI47" s="123"/>
      <c r="AJ47" s="123"/>
      <c r="AK47" s="123"/>
      <c r="AL47" s="123"/>
      <c r="AM47" s="123"/>
      <c r="AN47" s="123"/>
      <c r="AO47" s="123"/>
      <c r="AP47" s="123"/>
      <c r="AQ47" s="47"/>
      <c r="AR47" s="47"/>
      <c r="AS47" s="47"/>
      <c r="AT47" s="47"/>
      <c r="AU47" s="47"/>
      <c r="AV47" s="54"/>
      <c r="AW47" s="54"/>
      <c r="AX47" s="47"/>
      <c r="AY47" s="54"/>
      <c r="AZ47" s="54"/>
      <c r="BA47" s="54"/>
      <c r="BB47" s="54"/>
      <c r="BC47" s="54"/>
      <c r="BD47" s="54"/>
      <c r="BE47" s="54"/>
      <c r="BF47" s="54"/>
      <c r="BG47" s="54"/>
      <c r="BH47" s="54"/>
      <c r="BI47" s="54">
        <v>-680000</v>
      </c>
      <c r="BJ47" s="54">
        <v>-680000</v>
      </c>
      <c r="BK47" s="54">
        <v>0</v>
      </c>
      <c r="BL47" s="54">
        <v>0</v>
      </c>
      <c r="BM47" s="54">
        <v>0</v>
      </c>
      <c r="BN47" s="54">
        <v>0</v>
      </c>
      <c r="BO47" s="54">
        <v>0</v>
      </c>
      <c r="BP47" s="54">
        <v>0</v>
      </c>
      <c r="BQ47" s="54">
        <v>0</v>
      </c>
      <c r="BR47" s="54">
        <v>0</v>
      </c>
      <c r="BS47" s="87">
        <v>0</v>
      </c>
      <c r="BT47" s="127">
        <v>0</v>
      </c>
      <c r="BU47" s="54">
        <v>0</v>
      </c>
      <c r="BV47" s="54">
        <v>0</v>
      </c>
      <c r="BW47" s="54">
        <v>0</v>
      </c>
      <c r="BX47" s="87">
        <v>0</v>
      </c>
    </row>
    <row r="48" spans="1:76" x14ac:dyDescent="0.35">
      <c r="B48" s="182" t="s">
        <v>412</v>
      </c>
      <c r="C48" s="47"/>
      <c r="D48" s="47"/>
      <c r="E48" s="47"/>
      <c r="F48" s="47"/>
      <c r="G48" s="47"/>
      <c r="H48" s="47"/>
      <c r="I48" s="47"/>
      <c r="J48" s="47"/>
      <c r="K48" s="47"/>
      <c r="L48" s="47"/>
      <c r="M48" s="47"/>
      <c r="N48" s="47"/>
      <c r="O48" s="47"/>
      <c r="P48" s="47"/>
      <c r="Q48" s="47"/>
      <c r="R48" s="47"/>
      <c r="S48" s="47"/>
      <c r="T48" s="47"/>
      <c r="U48" s="47"/>
      <c r="V48" s="47"/>
      <c r="W48" s="123"/>
      <c r="X48" s="123"/>
      <c r="Y48" s="123"/>
      <c r="Z48" s="123"/>
      <c r="AA48" s="123"/>
      <c r="AB48" s="123"/>
      <c r="AC48" s="123"/>
      <c r="AD48" s="123"/>
      <c r="AE48" s="123"/>
      <c r="AF48" s="123"/>
      <c r="AG48" s="123"/>
      <c r="AH48" s="123"/>
      <c r="AI48" s="123"/>
      <c r="AJ48" s="123"/>
      <c r="AK48" s="123"/>
      <c r="AL48" s="123"/>
      <c r="AM48" s="123"/>
      <c r="AN48" s="123"/>
      <c r="AO48" s="123"/>
      <c r="AP48" s="123"/>
      <c r="AQ48" s="47"/>
      <c r="AR48" s="47"/>
      <c r="AS48" s="47"/>
      <c r="AT48" s="47"/>
      <c r="AU48" s="47"/>
      <c r="AV48" s="54"/>
      <c r="AW48" s="54"/>
      <c r="AX48" s="47"/>
      <c r="AY48" s="54"/>
      <c r="AZ48" s="54"/>
      <c r="BA48" s="54"/>
      <c r="BB48" s="54"/>
      <c r="BC48" s="54"/>
      <c r="BD48" s="54"/>
      <c r="BE48" s="54"/>
      <c r="BF48" s="54"/>
      <c r="BG48" s="54"/>
      <c r="BH48" s="54"/>
      <c r="BI48" s="54"/>
      <c r="BJ48" s="54"/>
      <c r="BK48" s="54"/>
      <c r="BL48" s="54"/>
      <c r="BM48" s="54"/>
      <c r="BN48" s="54"/>
      <c r="BO48" s="54"/>
      <c r="BP48" s="54"/>
      <c r="BQ48" s="54"/>
      <c r="BR48" s="54"/>
      <c r="BS48" s="87"/>
      <c r="BT48" s="127">
        <v>-863044</v>
      </c>
      <c r="BU48" s="54">
        <v>-2501022</v>
      </c>
      <c r="BV48" s="54">
        <v>-2501022</v>
      </c>
      <c r="BW48" s="54">
        <v>-5000000</v>
      </c>
      <c r="BX48" s="54">
        <v>-5000000</v>
      </c>
    </row>
    <row r="49" spans="1:76" x14ac:dyDescent="0.35">
      <c r="B49" s="182" t="s">
        <v>357</v>
      </c>
      <c r="C49" s="47"/>
      <c r="D49" s="47"/>
      <c r="E49" s="47"/>
      <c r="F49" s="47"/>
      <c r="G49" s="47"/>
      <c r="H49" s="47"/>
      <c r="I49" s="47"/>
      <c r="J49" s="47"/>
      <c r="K49" s="47"/>
      <c r="L49" s="47"/>
      <c r="M49" s="47"/>
      <c r="N49" s="47"/>
      <c r="O49" s="47"/>
      <c r="P49" s="47"/>
      <c r="Q49" s="47"/>
      <c r="R49" s="47"/>
      <c r="S49" s="47"/>
      <c r="T49" s="47"/>
      <c r="U49" s="47"/>
      <c r="V49" s="47"/>
      <c r="W49" s="123"/>
      <c r="X49" s="123"/>
      <c r="Y49" s="123"/>
      <c r="Z49" s="123"/>
      <c r="AA49" s="123"/>
      <c r="AB49" s="123"/>
      <c r="AC49" s="123"/>
      <c r="AD49" s="123"/>
      <c r="AE49" s="123"/>
      <c r="AF49" s="123"/>
      <c r="AG49" s="123"/>
      <c r="AH49" s="123"/>
      <c r="AI49" s="123"/>
      <c r="AJ49" s="123"/>
      <c r="AK49" s="123"/>
      <c r="AL49" s="123"/>
      <c r="AM49" s="123"/>
      <c r="AN49" s="123"/>
      <c r="AO49" s="123"/>
      <c r="AP49" s="123"/>
      <c r="AQ49" s="47"/>
      <c r="AR49" s="47"/>
      <c r="AS49" s="47"/>
      <c r="AT49" s="47"/>
      <c r="AU49" s="47">
        <v>-288825</v>
      </c>
      <c r="AV49" s="54"/>
      <c r="AW49" s="54"/>
      <c r="AX49" s="47"/>
      <c r="AY49" s="54"/>
      <c r="AZ49" s="54"/>
      <c r="BA49" s="54"/>
      <c r="BB49" s="54"/>
      <c r="BC49" s="54"/>
      <c r="BD49" s="54"/>
      <c r="BE49" s="54"/>
      <c r="BF49" s="54"/>
      <c r="BG49" s="54"/>
      <c r="BI49" s="54">
        <v>533504</v>
      </c>
      <c r="BJ49" s="54">
        <v>533504</v>
      </c>
      <c r="BK49" s="54">
        <v>0</v>
      </c>
      <c r="BL49" s="54">
        <v>0</v>
      </c>
      <c r="BM49" s="54">
        <v>0</v>
      </c>
      <c r="BN49" s="54">
        <v>0</v>
      </c>
      <c r="BO49" s="54">
        <v>0</v>
      </c>
      <c r="BP49" s="54">
        <v>0</v>
      </c>
      <c r="BQ49" s="54">
        <v>0</v>
      </c>
      <c r="BR49" s="54">
        <v>0</v>
      </c>
      <c r="BS49" s="87">
        <v>0</v>
      </c>
      <c r="BT49" s="127">
        <v>0</v>
      </c>
      <c r="BU49" s="54">
        <v>0</v>
      </c>
      <c r="BV49" s="54">
        <v>0</v>
      </c>
      <c r="BW49" s="54">
        <v>0</v>
      </c>
      <c r="BX49" s="87">
        <v>0</v>
      </c>
    </row>
    <row r="50" spans="1:76" x14ac:dyDescent="0.35">
      <c r="B50" s="23" t="s">
        <v>153</v>
      </c>
      <c r="C50" s="54"/>
      <c r="D50" s="54"/>
      <c r="E50" s="54"/>
      <c r="F50" s="54"/>
      <c r="G50" s="54">
        <v>42028.785000000003</v>
      </c>
      <c r="H50" s="54"/>
      <c r="I50" s="54"/>
      <c r="J50" s="54"/>
      <c r="K50" s="54"/>
      <c r="L50" s="54">
        <v>131920</v>
      </c>
      <c r="M50" s="54">
        <v>122998</v>
      </c>
      <c r="N50" s="54">
        <v>317727</v>
      </c>
      <c r="O50" s="54">
        <v>531731</v>
      </c>
      <c r="P50" s="54">
        <v>680573</v>
      </c>
      <c r="Q50" s="54">
        <v>680573</v>
      </c>
      <c r="R50" s="54">
        <v>3697</v>
      </c>
      <c r="S50" s="54">
        <v>68726</v>
      </c>
      <c r="T50" s="54">
        <v>269848</v>
      </c>
      <c r="U50" s="54">
        <v>430494</v>
      </c>
      <c r="V50" s="54">
        <v>430494</v>
      </c>
      <c r="W50" s="55">
        <v>199346</v>
      </c>
      <c r="X50" s="55">
        <v>327637</v>
      </c>
      <c r="Y50" s="55">
        <v>371170</v>
      </c>
      <c r="Z50" s="55">
        <v>412083</v>
      </c>
      <c r="AA50" s="55">
        <v>412083</v>
      </c>
      <c r="AB50" s="55">
        <v>38147</v>
      </c>
      <c r="AC50" s="55">
        <v>64467</v>
      </c>
      <c r="AD50" s="55">
        <v>133437</v>
      </c>
      <c r="AE50" s="55">
        <v>171698</v>
      </c>
      <c r="AF50" s="55">
        <v>171698</v>
      </c>
      <c r="AG50" s="55">
        <v>61360</v>
      </c>
      <c r="AH50" s="55">
        <v>148743</v>
      </c>
      <c r="AI50" s="55">
        <v>319693</v>
      </c>
      <c r="AJ50" s="55">
        <v>494839</v>
      </c>
      <c r="AK50" s="55">
        <v>494839</v>
      </c>
      <c r="AL50" s="55">
        <v>226217</v>
      </c>
      <c r="AM50" s="55">
        <v>240322</v>
      </c>
      <c r="AN50" s="55">
        <v>511199</v>
      </c>
      <c r="AO50" s="55">
        <v>587724</v>
      </c>
      <c r="AP50" s="55">
        <v>587724</v>
      </c>
      <c r="AQ50" s="54">
        <v>245543</v>
      </c>
      <c r="AR50" s="54">
        <v>308276</v>
      </c>
      <c r="AS50" s="54">
        <v>600187</v>
      </c>
      <c r="AT50" s="54">
        <v>621888</v>
      </c>
      <c r="AU50" s="54">
        <v>621888</v>
      </c>
      <c r="AV50" s="54">
        <v>31118</v>
      </c>
      <c r="AW50" s="54">
        <v>153684</v>
      </c>
      <c r="AX50" s="54">
        <v>248605.54689000006</v>
      </c>
      <c r="AY50" s="54">
        <v>306535</v>
      </c>
      <c r="AZ50" s="54">
        <v>306535</v>
      </c>
      <c r="BA50" s="54">
        <v>185961</v>
      </c>
      <c r="BB50" s="54">
        <v>214234</v>
      </c>
      <c r="BC50" s="54">
        <v>120325</v>
      </c>
      <c r="BD50" s="54">
        <v>154014</v>
      </c>
      <c r="BE50" s="54">
        <v>154014</v>
      </c>
      <c r="BF50" s="54">
        <v>38711</v>
      </c>
      <c r="BG50" s="54">
        <v>118577.84454000001</v>
      </c>
      <c r="BH50" s="54">
        <v>184736</v>
      </c>
      <c r="BI50" s="54">
        <v>280541</v>
      </c>
      <c r="BJ50" s="54">
        <v>280542</v>
      </c>
      <c r="BK50" s="54">
        <v>95206</v>
      </c>
      <c r="BL50" s="54">
        <v>149707</v>
      </c>
      <c r="BM50" s="54">
        <v>207518</v>
      </c>
      <c r="BN50" s="54">
        <v>253991</v>
      </c>
      <c r="BO50" s="54">
        <v>253991</v>
      </c>
      <c r="BP50" s="54">
        <v>68982</v>
      </c>
      <c r="BQ50" s="54">
        <v>131311</v>
      </c>
      <c r="BR50" s="54">
        <v>200078</v>
      </c>
      <c r="BS50" s="87">
        <v>276447</v>
      </c>
      <c r="BT50" s="127">
        <v>276447</v>
      </c>
      <c r="BU50" s="54">
        <v>114346</v>
      </c>
      <c r="BV50" s="54">
        <v>160309</v>
      </c>
      <c r="BW50" s="54">
        <v>196497</v>
      </c>
      <c r="BX50" s="87">
        <v>328893</v>
      </c>
    </row>
    <row r="51" spans="1:76" s="22" customFormat="1" x14ac:dyDescent="0.35">
      <c r="A51" s="51"/>
      <c r="B51" s="51" t="s">
        <v>154</v>
      </c>
      <c r="C51" s="86">
        <f>C36</f>
        <v>-4397451.1979999999</v>
      </c>
      <c r="D51" s="86">
        <f>D36</f>
        <v>-8197763.9939999999</v>
      </c>
      <c r="E51" s="86">
        <f>E36</f>
        <v>-8458490.3159999996</v>
      </c>
      <c r="F51" s="86">
        <f>F36</f>
        <v>-8253141.0130000003</v>
      </c>
      <c r="G51" s="86">
        <f>SUM(G35:G50)</f>
        <v>-8253141.0130000003</v>
      </c>
      <c r="H51" s="86">
        <v>651080.58299999998</v>
      </c>
      <c r="I51" s="86">
        <v>-5224984.5690000001</v>
      </c>
      <c r="J51" s="86">
        <v>-18315470.041999999</v>
      </c>
      <c r="K51" s="86">
        <v>-5515187</v>
      </c>
      <c r="L51" s="86">
        <f>SUM(L35:L50)</f>
        <v>-6954326</v>
      </c>
      <c r="M51" s="86">
        <v>-1738513</v>
      </c>
      <c r="N51" s="86">
        <v>-10519849</v>
      </c>
      <c r="O51" s="86">
        <v>-15629360</v>
      </c>
      <c r="P51" s="86">
        <v>-29851890</v>
      </c>
      <c r="Q51" s="86">
        <f>SUM(Q35:Q50)</f>
        <v>-31293765</v>
      </c>
      <c r="R51" s="86">
        <v>-2845370</v>
      </c>
      <c r="S51" s="86">
        <v>-35738261</v>
      </c>
      <c r="T51" s="86">
        <v>-28499253</v>
      </c>
      <c r="U51" s="86">
        <v>-28823955</v>
      </c>
      <c r="V51" s="86">
        <f>SUM(V35:V50)</f>
        <v>-29384807</v>
      </c>
      <c r="W51" s="125">
        <v>-9888578</v>
      </c>
      <c r="X51" s="125">
        <v>-7461462</v>
      </c>
      <c r="Y51" s="125">
        <v>-6752385</v>
      </c>
      <c r="Z51" s="125">
        <v>-7439310</v>
      </c>
      <c r="AA51" s="86">
        <f>SUM(AA35:AA50)</f>
        <v>-7439310</v>
      </c>
      <c r="AB51" s="125">
        <v>-742393</v>
      </c>
      <c r="AC51" s="125">
        <v>-6940821</v>
      </c>
      <c r="AD51" s="125">
        <v>7272191</v>
      </c>
      <c r="AE51" s="125">
        <v>-7804388</v>
      </c>
      <c r="AF51" s="86">
        <f>SUM(AF35:AF50)</f>
        <v>-8148883</v>
      </c>
      <c r="AG51" s="125">
        <v>-1630824</v>
      </c>
      <c r="AH51" s="125">
        <v>-3520883</v>
      </c>
      <c r="AI51" s="125">
        <v>5059221</v>
      </c>
      <c r="AJ51" s="125">
        <v>-15514713</v>
      </c>
      <c r="AK51" s="86">
        <f>SUM(AK35:AK50)</f>
        <v>-15106010</v>
      </c>
      <c r="AL51" s="125">
        <v>955743</v>
      </c>
      <c r="AM51" s="125">
        <v>-2864800</v>
      </c>
      <c r="AN51" s="125">
        <v>5502912</v>
      </c>
      <c r="AO51" s="125">
        <v>8456313</v>
      </c>
      <c r="AP51" s="86">
        <f>SUM(AP35:AP50)</f>
        <v>-11061820</v>
      </c>
      <c r="AQ51" s="86">
        <v>-3171482</v>
      </c>
      <c r="AR51" s="86">
        <v>-5582241</v>
      </c>
      <c r="AS51" s="86">
        <v>-7233287</v>
      </c>
      <c r="AT51" s="86">
        <v>-28227989</v>
      </c>
      <c r="AU51" s="86">
        <f>SUM(AU35:AU50)</f>
        <v>-28593743</v>
      </c>
      <c r="AV51" s="86">
        <f>SUM(AV35:AV50)</f>
        <v>-1835578</v>
      </c>
      <c r="AW51" s="86">
        <v>-4040144</v>
      </c>
      <c r="AX51" s="86">
        <f t="shared" ref="AX51:BI51" si="12">SUM(AX35:AX50)</f>
        <v>-7956966.4531100001</v>
      </c>
      <c r="AY51" s="86">
        <f t="shared" si="12"/>
        <v>-9745264</v>
      </c>
      <c r="AZ51" s="86">
        <f t="shared" si="12"/>
        <v>-9693753</v>
      </c>
      <c r="BA51" s="86">
        <f t="shared" si="12"/>
        <v>-5267929</v>
      </c>
      <c r="BB51" s="86">
        <f t="shared" si="12"/>
        <v>-7269731</v>
      </c>
      <c r="BC51" s="86">
        <f t="shared" si="12"/>
        <v>-8555258</v>
      </c>
      <c r="BD51" s="86">
        <f t="shared" si="12"/>
        <v>-12263413</v>
      </c>
      <c r="BE51" s="86">
        <f t="shared" si="12"/>
        <v>-12263413</v>
      </c>
      <c r="BF51" s="86">
        <f t="shared" si="12"/>
        <v>-1820378</v>
      </c>
      <c r="BG51" s="86">
        <f t="shared" si="12"/>
        <v>-6876580.7046783036</v>
      </c>
      <c r="BH51" s="86">
        <f t="shared" si="12"/>
        <v>-8579421</v>
      </c>
      <c r="BI51" s="86">
        <f t="shared" si="12"/>
        <v>-9987483</v>
      </c>
      <c r="BJ51" s="86">
        <f>SUM(BJ35:BJ50)</f>
        <v>-9987482</v>
      </c>
      <c r="BK51" s="86">
        <f t="shared" ref="BK51:BS51" si="13">SUM(BK35:BK50)</f>
        <v>-2157811</v>
      </c>
      <c r="BL51" s="86">
        <f t="shared" si="13"/>
        <v>-322450</v>
      </c>
      <c r="BM51" s="86">
        <f t="shared" si="13"/>
        <v>-1195281</v>
      </c>
      <c r="BN51" s="86">
        <f t="shared" si="13"/>
        <v>-2709004</v>
      </c>
      <c r="BO51" s="86">
        <f t="shared" si="13"/>
        <v>-2709004</v>
      </c>
      <c r="BP51" s="86">
        <f t="shared" si="13"/>
        <v>-1153282</v>
      </c>
      <c r="BQ51" s="86">
        <f t="shared" si="13"/>
        <v>-2000312</v>
      </c>
      <c r="BR51" s="86">
        <f t="shared" si="13"/>
        <v>-4049231</v>
      </c>
      <c r="BS51" s="86">
        <f t="shared" si="13"/>
        <v>-3820025</v>
      </c>
      <c r="BT51" s="86">
        <f t="shared" ref="BT51:BX51" si="14">SUM(BT35:BT50)</f>
        <v>-3820025</v>
      </c>
      <c r="BU51" s="86">
        <f t="shared" si="14"/>
        <v>-3272969</v>
      </c>
      <c r="BV51" s="86">
        <f t="shared" si="14"/>
        <v>-3949951</v>
      </c>
      <c r="BW51" s="86">
        <f t="shared" si="14"/>
        <v>-6840915</v>
      </c>
      <c r="BX51" s="86">
        <f t="shared" si="14"/>
        <v>-8485367</v>
      </c>
    </row>
    <row r="52" spans="1:76" x14ac:dyDescent="0.35">
      <c r="B52" s="51" t="s">
        <v>170</v>
      </c>
      <c r="C52" s="23"/>
      <c r="D52" s="23"/>
      <c r="E52" s="23"/>
      <c r="F52" s="23"/>
      <c r="G52" s="23"/>
      <c r="H52" s="23"/>
      <c r="I52" s="23"/>
      <c r="J52" s="23"/>
      <c r="K52" s="23"/>
      <c r="L52" s="23"/>
      <c r="M52" s="23"/>
      <c r="N52" s="23"/>
      <c r="O52" s="23"/>
      <c r="P52" s="23"/>
      <c r="Q52" s="23"/>
      <c r="R52" s="23"/>
      <c r="S52" s="23"/>
      <c r="T52" s="23"/>
      <c r="U52" s="23"/>
      <c r="V52" s="23"/>
      <c r="W52" s="126"/>
      <c r="X52" s="126"/>
      <c r="Y52" s="126"/>
      <c r="Z52" s="126"/>
      <c r="AA52" s="126"/>
      <c r="AB52" s="126"/>
      <c r="AC52" s="126"/>
      <c r="AD52" s="126"/>
      <c r="AE52" s="126"/>
      <c r="AF52" s="126"/>
      <c r="AG52" s="126"/>
      <c r="AH52" s="126"/>
      <c r="AI52" s="126"/>
      <c r="AJ52" s="126"/>
      <c r="AK52" s="126"/>
      <c r="AL52" s="126"/>
      <c r="AM52" s="126"/>
      <c r="AN52" s="126"/>
      <c r="AO52" s="126"/>
      <c r="AP52" s="126"/>
      <c r="AT52" s="23"/>
      <c r="AU52" s="23"/>
      <c r="AY52" s="23"/>
      <c r="AZ52" s="23"/>
    </row>
    <row r="53" spans="1:76" x14ac:dyDescent="0.35">
      <c r="B53" s="23" t="s">
        <v>155</v>
      </c>
      <c r="C53" s="54"/>
      <c r="D53" s="54"/>
      <c r="E53" s="54"/>
      <c r="F53" s="54"/>
      <c r="G53" s="54"/>
      <c r="H53" s="54"/>
      <c r="I53" s="54"/>
      <c r="J53" s="54"/>
      <c r="K53" s="54">
        <v>-429642</v>
      </c>
      <c r="L53" s="54">
        <v>-429642</v>
      </c>
      <c r="M53" s="54">
        <v>-84029</v>
      </c>
      <c r="N53" s="54">
        <v>157884</v>
      </c>
      <c r="O53" s="54">
        <v>845430</v>
      </c>
      <c r="P53" s="54">
        <v>-7456774</v>
      </c>
      <c r="Q53" s="54">
        <v>-7391450</v>
      </c>
      <c r="R53" s="54">
        <v>-9448659</v>
      </c>
      <c r="S53" s="54">
        <v>-13794888</v>
      </c>
      <c r="T53" s="54">
        <v>-16209923</v>
      </c>
      <c r="U53" s="54">
        <v>-18086286</v>
      </c>
      <c r="V53" s="54">
        <v>-15320277</v>
      </c>
      <c r="W53" s="55">
        <v>-137016</v>
      </c>
      <c r="X53" s="55">
        <v>-761851</v>
      </c>
      <c r="Y53" s="55">
        <v>-2083709</v>
      </c>
      <c r="Z53" s="55">
        <v>-2612737</v>
      </c>
      <c r="AA53" s="55">
        <v>-2612737</v>
      </c>
      <c r="AB53" s="55">
        <v>-145670</v>
      </c>
      <c r="AC53" s="55">
        <v>-9583976</v>
      </c>
      <c r="AD53" s="55">
        <v>-12435355</v>
      </c>
      <c r="AE53" s="55">
        <v>-13403201</v>
      </c>
      <c r="AF53" s="55">
        <v>-13403201</v>
      </c>
      <c r="AG53" s="55">
        <v>-62137</v>
      </c>
      <c r="AH53" s="55">
        <v>-525818</v>
      </c>
      <c r="AI53" s="55">
        <v>-574975</v>
      </c>
      <c r="AJ53" s="55">
        <v>-9020553</v>
      </c>
      <c r="AK53" s="55">
        <v>-9020553</v>
      </c>
      <c r="AL53" s="55">
        <v>-1836162</v>
      </c>
      <c r="AM53" s="55">
        <v>-6017359</v>
      </c>
      <c r="AN53" s="55">
        <v>-12687781</v>
      </c>
      <c r="AO53" s="55">
        <v>-12766726</v>
      </c>
      <c r="AP53" s="55">
        <v>-12766726</v>
      </c>
      <c r="AQ53" s="54">
        <v>-64112</v>
      </c>
      <c r="AR53" s="54">
        <v>-10464266</v>
      </c>
      <c r="AS53" s="54">
        <v>-13023112</v>
      </c>
      <c r="AT53" s="54">
        <v>-19952065</v>
      </c>
      <c r="AU53" s="54">
        <v>-19952065</v>
      </c>
      <c r="AV53" s="54">
        <v>-1838101</v>
      </c>
      <c r="AW53" s="54">
        <v>-5280342</v>
      </c>
      <c r="AX53" s="54">
        <f>'[8]EFF word'!$E$48</f>
        <v>-11842452.236782394</v>
      </c>
      <c r="AY53" s="54">
        <v>-23860589</v>
      </c>
      <c r="AZ53" s="54">
        <v>-22860608</v>
      </c>
      <c r="BA53" s="54">
        <v>-7047812.1489315899</v>
      </c>
      <c r="BB53" s="54">
        <v>-7299626.6100000003</v>
      </c>
      <c r="BC53" s="54">
        <v>-7351316</v>
      </c>
      <c r="BD53" s="54">
        <v>-18002395</v>
      </c>
      <c r="BE53" s="54">
        <v>-18002395</v>
      </c>
      <c r="BF53" s="54">
        <v>-6172765</v>
      </c>
      <c r="BG53" s="54">
        <v>-11428906.301209999</v>
      </c>
      <c r="BH53" s="54">
        <v>-15986631</v>
      </c>
      <c r="BI53" s="54">
        <v>-35309334</v>
      </c>
      <c r="BJ53" s="54">
        <v>-35309334</v>
      </c>
      <c r="BK53" s="54">
        <v>-11246582</v>
      </c>
      <c r="BL53" s="54">
        <v>-15489839</v>
      </c>
      <c r="BM53" s="54">
        <v>-20872146</v>
      </c>
      <c r="BN53" s="54">
        <v>-28224313</v>
      </c>
      <c r="BO53" s="54">
        <v>-28224313</v>
      </c>
      <c r="BP53" s="54">
        <v>-13488971</v>
      </c>
      <c r="BQ53" s="54">
        <v>-19281607</v>
      </c>
      <c r="BR53" s="54">
        <v>-23842679</v>
      </c>
      <c r="BS53" s="87">
        <v>-27869914</v>
      </c>
      <c r="BT53" s="87">
        <v>-27869914</v>
      </c>
      <c r="BU53" s="54">
        <v>-21277411</v>
      </c>
      <c r="BV53" s="54">
        <v>-36092557</v>
      </c>
      <c r="BW53" s="54">
        <v>-51683068</v>
      </c>
      <c r="BX53" s="87">
        <v>-66773362</v>
      </c>
    </row>
    <row r="54" spans="1:76" x14ac:dyDescent="0.35">
      <c r="B54" s="23" t="s">
        <v>156</v>
      </c>
      <c r="C54" s="54"/>
      <c r="D54" s="54"/>
      <c r="E54" s="54">
        <v>1552470.2409999999</v>
      </c>
      <c r="F54" s="54">
        <f>850000-11500</f>
        <v>838500</v>
      </c>
      <c r="G54" s="54">
        <v>838500</v>
      </c>
      <c r="H54" s="54">
        <v>192893.54399999999</v>
      </c>
      <c r="I54" s="54">
        <v>-139624.61000000002</v>
      </c>
      <c r="J54" s="54">
        <v>7749630.9569999995</v>
      </c>
      <c r="K54" s="54">
        <v>333000</v>
      </c>
      <c r="L54" s="54">
        <v>333000</v>
      </c>
      <c r="M54" s="54" t="s">
        <v>243</v>
      </c>
      <c r="N54" s="54" t="s">
        <v>243</v>
      </c>
      <c r="O54" s="54">
        <v>650000</v>
      </c>
      <c r="P54" s="54">
        <v>20833681</v>
      </c>
      <c r="Q54" s="54">
        <v>20686289</v>
      </c>
      <c r="R54" s="54">
        <v>13367100</v>
      </c>
      <c r="S54" s="54">
        <v>15372805</v>
      </c>
      <c r="T54" s="54">
        <v>15778171</v>
      </c>
      <c r="U54" s="54">
        <v>15778171</v>
      </c>
      <c r="V54" s="54">
        <v>13101441</v>
      </c>
      <c r="W54" s="55">
        <v>10000000</v>
      </c>
      <c r="X54" s="55">
        <v>10000000</v>
      </c>
      <c r="Y54" s="55">
        <v>10000000</v>
      </c>
      <c r="Z54" s="55">
        <v>16920892</v>
      </c>
      <c r="AA54" s="55">
        <v>16920892</v>
      </c>
      <c r="AB54" s="55">
        <v>400000</v>
      </c>
      <c r="AC54" s="55">
        <v>14561558</v>
      </c>
      <c r="AD54" s="55">
        <v>16647497</v>
      </c>
      <c r="AE54" s="55">
        <v>17561558</v>
      </c>
      <c r="AF54" s="55">
        <v>17561558</v>
      </c>
      <c r="AG54" s="55" t="s">
        <v>167</v>
      </c>
      <c r="AH54" s="55">
        <v>1410000</v>
      </c>
      <c r="AI54" s="55">
        <v>1910000</v>
      </c>
      <c r="AJ54" s="55">
        <v>10810000</v>
      </c>
      <c r="AK54" s="55">
        <v>10810000</v>
      </c>
      <c r="AL54" s="55">
        <v>2300000</v>
      </c>
      <c r="AM54" s="55">
        <v>9504098</v>
      </c>
      <c r="AN54" s="55">
        <v>20596772</v>
      </c>
      <c r="AO54" s="55">
        <v>23209299</v>
      </c>
      <c r="AP54" s="55">
        <v>23209299</v>
      </c>
      <c r="AQ54" s="54">
        <v>3000000</v>
      </c>
      <c r="AR54" s="54">
        <v>31128264</v>
      </c>
      <c r="AS54" s="54">
        <v>31128500</v>
      </c>
      <c r="AT54" s="54">
        <v>49547710</v>
      </c>
      <c r="AU54" s="54">
        <v>49547710</v>
      </c>
      <c r="AV54" s="54">
        <v>5300000</v>
      </c>
      <c r="AW54" s="54">
        <v>21169178</v>
      </c>
      <c r="AX54" s="54">
        <f>'[8]EFF word'!$E$49</f>
        <v>35758956.236782394</v>
      </c>
      <c r="AY54" s="54">
        <v>39912175</v>
      </c>
      <c r="AZ54" s="54">
        <v>38041843</v>
      </c>
      <c r="BA54" s="54">
        <v>11183360.148931589</v>
      </c>
      <c r="BB54" s="54">
        <v>11383359.75</v>
      </c>
      <c r="BC54" s="54">
        <v>11383360</v>
      </c>
      <c r="BD54" s="54">
        <v>26783360</v>
      </c>
      <c r="BE54" s="54">
        <v>26783360</v>
      </c>
      <c r="BF54" s="54">
        <v>7300000</v>
      </c>
      <c r="BG54" s="54">
        <v>16214644.4352693</v>
      </c>
      <c r="BH54" s="54">
        <v>22499126</v>
      </c>
      <c r="BI54" s="54">
        <v>43942323</v>
      </c>
      <c r="BJ54" s="54">
        <v>43942323</v>
      </c>
      <c r="BK54" s="54">
        <v>11200000</v>
      </c>
      <c r="BL54" s="54">
        <v>14188530</v>
      </c>
      <c r="BM54" s="54">
        <v>19501638</v>
      </c>
      <c r="BN54" s="54">
        <v>28051638</v>
      </c>
      <c r="BO54" s="54">
        <v>28051638</v>
      </c>
      <c r="BP54" s="54">
        <v>14914901</v>
      </c>
      <c r="BQ54" s="54">
        <v>22789901</v>
      </c>
      <c r="BR54" s="54">
        <v>28089901</v>
      </c>
      <c r="BS54" s="87">
        <v>32689901</v>
      </c>
      <c r="BT54" s="87">
        <v>32689901</v>
      </c>
      <c r="BU54" s="54">
        <v>23658368</v>
      </c>
      <c r="BV54" s="54">
        <v>40458368</v>
      </c>
      <c r="BW54" s="54">
        <v>58888368</v>
      </c>
      <c r="BX54" s="87">
        <v>75552579</v>
      </c>
    </row>
    <row r="55" spans="1:76" x14ac:dyDescent="0.35">
      <c r="B55" s="23" t="s">
        <v>327</v>
      </c>
      <c r="C55" s="54"/>
      <c r="D55" s="54"/>
      <c r="E55" s="54"/>
      <c r="F55" s="54"/>
      <c r="G55" s="54"/>
      <c r="H55" s="54"/>
      <c r="I55" s="54"/>
      <c r="J55" s="54"/>
      <c r="K55" s="54"/>
      <c r="L55" s="54"/>
      <c r="M55" s="54"/>
      <c r="N55" s="54"/>
      <c r="O55" s="54"/>
      <c r="P55" s="54"/>
      <c r="Q55" s="54"/>
      <c r="R55" s="54"/>
      <c r="S55" s="54"/>
      <c r="T55" s="54"/>
      <c r="U55" s="54"/>
      <c r="V55" s="54"/>
      <c r="W55" s="55"/>
      <c r="X55" s="55"/>
      <c r="Y55" s="55"/>
      <c r="Z55" s="55"/>
      <c r="AA55" s="55"/>
      <c r="AB55" s="55"/>
      <c r="AC55" s="55"/>
      <c r="AD55" s="55"/>
      <c r="AE55" s="55"/>
      <c r="AF55" s="55"/>
      <c r="AG55" s="55"/>
      <c r="AH55" s="55"/>
      <c r="AI55" s="55"/>
      <c r="AJ55" s="55"/>
      <c r="AK55" s="55"/>
      <c r="AL55" s="55"/>
      <c r="AM55" s="55"/>
      <c r="AN55" s="55"/>
      <c r="AO55" s="55"/>
      <c r="AP55" s="55"/>
      <c r="AQ55" s="54"/>
      <c r="AR55" s="54"/>
      <c r="AS55" s="54"/>
      <c r="AT55" s="54"/>
      <c r="AU55" s="54"/>
      <c r="AV55" s="54"/>
      <c r="AW55" s="54"/>
      <c r="AX55" s="54"/>
      <c r="AY55" s="54"/>
      <c r="AZ55" s="54"/>
      <c r="BA55" s="54"/>
      <c r="BB55" s="54"/>
      <c r="BC55" s="54"/>
      <c r="BD55" s="54"/>
      <c r="BE55" s="54"/>
      <c r="BF55" s="54">
        <v>-680000</v>
      </c>
      <c r="BG55" s="54">
        <v>-327000</v>
      </c>
      <c r="BH55" s="54">
        <v>-235000</v>
      </c>
      <c r="BI55" s="54">
        <v>0</v>
      </c>
      <c r="BJ55" s="54">
        <v>0</v>
      </c>
      <c r="BK55" s="54">
        <v>146496</v>
      </c>
      <c r="BL55" s="54">
        <v>146496</v>
      </c>
      <c r="BM55" s="54">
        <v>146496</v>
      </c>
      <c r="BN55" s="54">
        <v>146496</v>
      </c>
      <c r="BO55" s="54">
        <v>146496</v>
      </c>
      <c r="BP55" s="54">
        <v>0</v>
      </c>
      <c r="BQ55" s="54">
        <v>0</v>
      </c>
      <c r="BR55" s="54">
        <v>0</v>
      </c>
      <c r="BS55" s="87">
        <v>0</v>
      </c>
      <c r="BT55" s="87">
        <v>0</v>
      </c>
      <c r="BU55" s="54">
        <v>0</v>
      </c>
      <c r="BV55" s="54">
        <v>0</v>
      </c>
      <c r="BW55" s="54"/>
      <c r="BX55" s="87"/>
    </row>
    <row r="56" spans="1:76" x14ac:dyDescent="0.35">
      <c r="B56" s="23" t="s">
        <v>299</v>
      </c>
      <c r="C56" s="54"/>
      <c r="D56" s="54"/>
      <c r="E56" s="54"/>
      <c r="F56" s="54"/>
      <c r="G56" s="54"/>
      <c r="H56" s="54"/>
      <c r="I56" s="54"/>
      <c r="J56" s="54"/>
      <c r="K56" s="54"/>
      <c r="L56" s="54"/>
      <c r="M56" s="54"/>
      <c r="N56" s="54"/>
      <c r="O56" s="54"/>
      <c r="P56" s="54"/>
      <c r="Q56" s="54"/>
      <c r="R56" s="54"/>
      <c r="S56" s="54"/>
      <c r="T56" s="54"/>
      <c r="U56" s="54"/>
      <c r="V56" s="54"/>
      <c r="W56" s="55"/>
      <c r="X56" s="55"/>
      <c r="Y56" s="55"/>
      <c r="Z56" s="55"/>
      <c r="AA56" s="55"/>
      <c r="AB56" s="55"/>
      <c r="AC56" s="55"/>
      <c r="AD56" s="55"/>
      <c r="AE56" s="55"/>
      <c r="AF56" s="55"/>
      <c r="AG56" s="55"/>
      <c r="AH56" s="55"/>
      <c r="AI56" s="55"/>
      <c r="AJ56" s="55"/>
      <c r="AK56" s="55"/>
      <c r="AL56" s="55"/>
      <c r="AM56" s="55"/>
      <c r="AN56" s="55"/>
      <c r="AO56" s="55"/>
      <c r="AP56" s="55"/>
      <c r="AQ56" s="54"/>
      <c r="AR56" s="54"/>
      <c r="AS56" s="54"/>
      <c r="AT56" s="54"/>
      <c r="AU56" s="54"/>
      <c r="AV56" s="54"/>
      <c r="AW56" s="54">
        <v>-409480</v>
      </c>
      <c r="AX56" s="54">
        <f>'[8]EFF word'!$E$50</f>
        <v>-376450.00000000279</v>
      </c>
      <c r="AY56" s="54">
        <v>-702896</v>
      </c>
      <c r="AZ56" s="54">
        <v>-759870</v>
      </c>
      <c r="BA56" s="54">
        <v>35533</v>
      </c>
      <c r="BB56" s="54">
        <v>-549349</v>
      </c>
      <c r="BC56" s="54">
        <v>540842</v>
      </c>
      <c r="BD56" s="54">
        <v>-2569240</v>
      </c>
      <c r="BE56" s="54">
        <v>-2569240</v>
      </c>
      <c r="BF56" s="54">
        <v>624443</v>
      </c>
      <c r="BG56" s="54">
        <v>365545.96637999988</v>
      </c>
      <c r="BH56" s="54">
        <v>601954</v>
      </c>
      <c r="BI56" s="54">
        <v>-839506</v>
      </c>
      <c r="BJ56" s="54">
        <v>-839506</v>
      </c>
      <c r="BK56" s="54">
        <v>-268567</v>
      </c>
      <c r="BL56" s="54">
        <v>-722791</v>
      </c>
      <c r="BM56" s="54">
        <v>-880742</v>
      </c>
      <c r="BN56" s="54">
        <v>-1389577</v>
      </c>
      <c r="BO56" s="54">
        <v>-1389577</v>
      </c>
      <c r="BP56" s="54">
        <v>-406793</v>
      </c>
      <c r="BQ56" s="54">
        <v>-902376</v>
      </c>
      <c r="BR56" s="54">
        <v>-1175080</v>
      </c>
      <c r="BS56" s="87">
        <v>-1585567</v>
      </c>
      <c r="BT56" s="87">
        <v>-1585567</v>
      </c>
      <c r="BU56" s="54">
        <v>-233266</v>
      </c>
      <c r="BV56" s="54">
        <v>-484229</v>
      </c>
      <c r="BW56" s="54">
        <v>-668261</v>
      </c>
      <c r="BX56" s="87">
        <v>-957684</v>
      </c>
    </row>
    <row r="57" spans="1:76" x14ac:dyDescent="0.35">
      <c r="B57" s="23" t="s">
        <v>157</v>
      </c>
      <c r="C57" s="54">
        <v>7266787.4550000001</v>
      </c>
      <c r="D57" s="54">
        <v>7992693.0369999995</v>
      </c>
      <c r="E57" s="54">
        <v>7992693.0369999995</v>
      </c>
      <c r="F57" s="54">
        <v>7992693.0369999995</v>
      </c>
      <c r="G57" s="54">
        <v>7992693.0369999995</v>
      </c>
      <c r="H57" s="54">
        <v>8152918.4390000002</v>
      </c>
      <c r="I57" s="54">
        <v>9376347.6459999997</v>
      </c>
      <c r="J57" s="54">
        <v>12912349.458000001</v>
      </c>
      <c r="K57" s="54">
        <v>8450651</v>
      </c>
      <c r="L57" s="54">
        <v>8451067</v>
      </c>
      <c r="M57" s="54">
        <v>20977828</v>
      </c>
      <c r="N57" s="54">
        <v>27390269</v>
      </c>
      <c r="O57" s="54">
        <v>27390620</v>
      </c>
      <c r="P57" s="54">
        <v>20955479</v>
      </c>
      <c r="Q57" s="54">
        <v>20955479</v>
      </c>
      <c r="R57" s="54" t="s">
        <v>244</v>
      </c>
      <c r="S57" s="54">
        <v>31601225</v>
      </c>
      <c r="T57" s="54">
        <v>32481946</v>
      </c>
      <c r="U57" s="54">
        <v>32481946</v>
      </c>
      <c r="V57" s="54">
        <v>31232804</v>
      </c>
      <c r="W57" s="55"/>
      <c r="X57" s="55" t="s">
        <v>167</v>
      </c>
      <c r="Y57" s="55"/>
      <c r="Z57" s="55"/>
      <c r="AA57" s="55"/>
      <c r="AB57" s="55"/>
      <c r="AC57" s="55" t="s">
        <v>167</v>
      </c>
      <c r="AD57" s="55"/>
      <c r="AE57" s="55">
        <v>1100000</v>
      </c>
      <c r="AF57" s="55">
        <v>1100000</v>
      </c>
      <c r="AG57" s="55">
        <v>300000</v>
      </c>
      <c r="AH57" s="55">
        <v>600000</v>
      </c>
      <c r="AI57" s="55">
        <v>1000000</v>
      </c>
      <c r="AJ57" s="55">
        <v>13622797</v>
      </c>
      <c r="AK57" s="55">
        <v>13622797</v>
      </c>
      <c r="AL57" s="55">
        <v>100000</v>
      </c>
      <c r="AM57" s="55">
        <v>300000</v>
      </c>
      <c r="AN57" s="55">
        <v>675062</v>
      </c>
      <c r="AO57" s="55">
        <v>675062</v>
      </c>
      <c r="AP57" s="55">
        <v>675062</v>
      </c>
      <c r="AQ57" s="54" t="s">
        <v>167</v>
      </c>
      <c r="AR57" s="54" t="s">
        <v>167</v>
      </c>
      <c r="AS57" s="54">
        <v>216953</v>
      </c>
      <c r="AT57" s="54">
        <v>0</v>
      </c>
      <c r="AU57" s="54">
        <v>0</v>
      </c>
      <c r="AV57" s="54">
        <v>36962</v>
      </c>
      <c r="AW57" s="54">
        <v>29624</v>
      </c>
      <c r="AX57" s="54"/>
      <c r="AY57" s="54"/>
      <c r="AZ57" s="54"/>
      <c r="BA57" s="54"/>
      <c r="BB57" s="54">
        <v>100.39999999999418</v>
      </c>
      <c r="BC57" s="54">
        <v>100</v>
      </c>
      <c r="BD57" s="54"/>
      <c r="BE57" s="54"/>
      <c r="BF57" s="54"/>
      <c r="BG57" s="54">
        <v>174999.97528499996</v>
      </c>
      <c r="BH57" s="54">
        <v>356278</v>
      </c>
      <c r="BI57" s="54">
        <v>356278</v>
      </c>
      <c r="BJ57" s="54">
        <v>356278</v>
      </c>
      <c r="BK57" s="54">
        <v>0</v>
      </c>
      <c r="BL57" s="54">
        <v>143722</v>
      </c>
      <c r="BM57" s="54">
        <v>143722</v>
      </c>
      <c r="BN57" s="54">
        <v>143722</v>
      </c>
      <c r="BO57" s="54">
        <v>143722</v>
      </c>
      <c r="BP57" s="54">
        <v>0</v>
      </c>
      <c r="BQ57" s="54">
        <v>0</v>
      </c>
      <c r="BR57" s="54">
        <v>0</v>
      </c>
      <c r="BS57" s="87">
        <v>0</v>
      </c>
      <c r="BT57" s="87">
        <v>0</v>
      </c>
      <c r="BU57" s="54">
        <v>0</v>
      </c>
      <c r="BV57" s="54">
        <v>0</v>
      </c>
      <c r="BW57" s="54"/>
      <c r="BX57" s="87">
        <v>15341770</v>
      </c>
    </row>
    <row r="58" spans="1:76" x14ac:dyDescent="0.35">
      <c r="B58" s="23" t="s">
        <v>158</v>
      </c>
      <c r="C58" s="54"/>
      <c r="D58" s="54">
        <v>-14477.737999999999</v>
      </c>
      <c r="E58" s="54">
        <v>-142161.75700000001</v>
      </c>
      <c r="F58" s="54">
        <v>-301872.97600000002</v>
      </c>
      <c r="G58" s="54">
        <v>-301872.97600000002</v>
      </c>
      <c r="H58" s="54">
        <v>-155883.84</v>
      </c>
      <c r="I58" s="54"/>
      <c r="J58" s="54">
        <v>-564671.89899999998</v>
      </c>
      <c r="K58" s="54">
        <v>-905349</v>
      </c>
      <c r="L58" s="54">
        <v>-905349</v>
      </c>
      <c r="M58" s="54">
        <v>-355115</v>
      </c>
      <c r="N58" s="54">
        <v>936901</v>
      </c>
      <c r="O58" s="54">
        <v>1675157</v>
      </c>
      <c r="P58" s="54">
        <v>-2489928</v>
      </c>
      <c r="Q58" s="54">
        <v>-2489928</v>
      </c>
      <c r="R58" s="54">
        <v>-868327</v>
      </c>
      <c r="S58" s="54">
        <v>-1695140</v>
      </c>
      <c r="T58" s="54">
        <v>-2850088</v>
      </c>
      <c r="U58" s="54">
        <v>-4282562</v>
      </c>
      <c r="V58" s="54">
        <v>-4282562</v>
      </c>
      <c r="W58" s="55">
        <v>-1407521</v>
      </c>
      <c r="X58" s="55">
        <v>-2878483</v>
      </c>
      <c r="Y58" s="55">
        <v>-4377755</v>
      </c>
      <c r="Z58" s="55">
        <v>-5903647</v>
      </c>
      <c r="AA58" s="55">
        <v>-5903646</v>
      </c>
      <c r="AB58" s="55"/>
      <c r="AC58" s="55">
        <v>-3237429</v>
      </c>
      <c r="AD58" s="55">
        <v>-4783910</v>
      </c>
      <c r="AE58" s="55">
        <v>-6370708</v>
      </c>
      <c r="AF58" s="55">
        <v>-6370708</v>
      </c>
      <c r="AG58" s="55">
        <v>-1662539</v>
      </c>
      <c r="AH58" s="55">
        <v>-3346800</v>
      </c>
      <c r="AI58" s="55">
        <v>-5048692</v>
      </c>
      <c r="AJ58" s="55">
        <v>-6767492</v>
      </c>
      <c r="AK58" s="55">
        <v>-6767492</v>
      </c>
      <c r="AL58" s="55">
        <v>-2020682</v>
      </c>
      <c r="AM58" s="55">
        <v>-4114471</v>
      </c>
      <c r="AN58" s="55">
        <v>-6241584</v>
      </c>
      <c r="AO58" s="55">
        <v>8406087</v>
      </c>
      <c r="AP58" s="55">
        <v>-8406087</v>
      </c>
      <c r="AQ58" s="54">
        <v>-2238761</v>
      </c>
      <c r="AR58" s="54">
        <v>-4497174</v>
      </c>
      <c r="AS58" s="54">
        <v>-6789669</v>
      </c>
      <c r="AT58" s="54">
        <v>-9087663.32082</v>
      </c>
      <c r="AU58" s="54">
        <v>-9087663.32082</v>
      </c>
      <c r="AV58" s="54">
        <v>-2317634</v>
      </c>
      <c r="AW58" s="54">
        <v>-3458521.0009300001</v>
      </c>
      <c r="AX58" s="54">
        <f>'[8]EFF word'!$E$52</f>
        <v>-4590047.3009300008</v>
      </c>
      <c r="AY58" s="54">
        <v>-5721241</v>
      </c>
      <c r="AZ58" s="54">
        <v>-5772751</v>
      </c>
      <c r="BA58" s="54">
        <v>-1213167</v>
      </c>
      <c r="BB58" s="54">
        <v>-2470329</v>
      </c>
      <c r="BC58" s="54">
        <v>-3738909</v>
      </c>
      <c r="BD58" s="54">
        <v>-5156934</v>
      </c>
      <c r="BE58" s="54">
        <v>-5156934</v>
      </c>
      <c r="BF58" s="54">
        <v>-2587984</v>
      </c>
      <c r="BG58" s="54">
        <v>-4507308.6441607503</v>
      </c>
      <c r="BH58" s="54">
        <v>-6499532</v>
      </c>
      <c r="BI58" s="54">
        <v>-8652082</v>
      </c>
      <c r="BJ58" s="54">
        <v>-8652082</v>
      </c>
      <c r="BK58" s="54">
        <v>-4196553</v>
      </c>
      <c r="BL58" s="54">
        <v>-5678313</v>
      </c>
      <c r="BM58" s="54">
        <v>-8023862</v>
      </c>
      <c r="BN58" s="54">
        <v>-10292848</v>
      </c>
      <c r="BO58" s="54">
        <v>-10292848</v>
      </c>
      <c r="BP58" s="54">
        <v>-2689340</v>
      </c>
      <c r="BQ58" s="54">
        <v>-4241045</v>
      </c>
      <c r="BR58" s="54">
        <v>-6232431</v>
      </c>
      <c r="BS58" s="87">
        <v>-8249778</v>
      </c>
      <c r="BT58" s="87">
        <v>-8249778</v>
      </c>
      <c r="BU58" s="54">
        <v>-2111434</v>
      </c>
      <c r="BV58" s="54">
        <v>-4233955</v>
      </c>
      <c r="BW58" s="54">
        <v>-6417539</v>
      </c>
      <c r="BX58" s="87">
        <v>-8926343</v>
      </c>
    </row>
    <row r="59" spans="1:76" x14ac:dyDescent="0.35">
      <c r="B59" s="191" t="s">
        <v>441</v>
      </c>
      <c r="C59" s="54"/>
      <c r="D59" s="54"/>
      <c r="E59" s="54"/>
      <c r="F59" s="54"/>
      <c r="G59" s="54"/>
      <c r="H59" s="54"/>
      <c r="I59" s="54"/>
      <c r="J59" s="54"/>
      <c r="K59" s="54"/>
      <c r="L59" s="54"/>
      <c r="M59" s="54"/>
      <c r="N59" s="54"/>
      <c r="O59" s="54"/>
      <c r="P59" s="54"/>
      <c r="Q59" s="54"/>
      <c r="R59" s="54"/>
      <c r="S59" s="54"/>
      <c r="T59" s="54"/>
      <c r="U59" s="54"/>
      <c r="V59" s="54"/>
      <c r="W59" s="55"/>
      <c r="X59" s="55"/>
      <c r="Y59" s="55"/>
      <c r="Z59" s="55"/>
      <c r="AA59" s="55"/>
      <c r="AB59" s="55"/>
      <c r="AC59" s="55"/>
      <c r="AD59" s="55"/>
      <c r="AE59" s="55"/>
      <c r="AF59" s="55"/>
      <c r="AG59" s="55"/>
      <c r="AH59" s="55"/>
      <c r="AI59" s="55"/>
      <c r="AJ59" s="55"/>
      <c r="AK59" s="55"/>
      <c r="AL59" s="55"/>
      <c r="AM59" s="55"/>
      <c r="AN59" s="55"/>
      <c r="AO59" s="55"/>
      <c r="AP59" s="55"/>
      <c r="AQ59" s="54"/>
      <c r="AR59" s="54"/>
      <c r="AS59" s="54"/>
      <c r="AT59" s="54"/>
      <c r="AU59" s="54"/>
      <c r="AV59" s="54"/>
      <c r="AW59" s="54"/>
      <c r="AX59" s="54"/>
      <c r="AY59" s="54"/>
      <c r="AZ59" s="54"/>
      <c r="BA59" s="54"/>
      <c r="BB59" s="54"/>
      <c r="BC59" s="54"/>
      <c r="BD59" s="54"/>
      <c r="BE59" s="54"/>
      <c r="BF59" s="54"/>
      <c r="BG59" s="54"/>
      <c r="BH59" s="54"/>
      <c r="BI59" s="54"/>
      <c r="BJ59" s="54"/>
      <c r="BK59" s="54"/>
      <c r="BL59" s="54"/>
      <c r="BM59" s="54"/>
      <c r="BN59" s="54">
        <v>0</v>
      </c>
      <c r="BO59" s="54">
        <v>0</v>
      </c>
      <c r="BP59" s="54">
        <v>0</v>
      </c>
      <c r="BQ59" s="54">
        <v>0</v>
      </c>
      <c r="BR59" s="54">
        <v>0</v>
      </c>
      <c r="BS59" s="87">
        <v>0</v>
      </c>
      <c r="BT59" s="87">
        <v>0</v>
      </c>
      <c r="BU59" s="54">
        <v>0</v>
      </c>
      <c r="BV59" s="54">
        <v>0</v>
      </c>
      <c r="BW59" s="54">
        <v>0</v>
      </c>
      <c r="BX59" s="87">
        <v>-1086958</v>
      </c>
    </row>
    <row r="60" spans="1:76" x14ac:dyDescent="0.35">
      <c r="B60" s="23" t="s">
        <v>159</v>
      </c>
      <c r="C60" s="54"/>
      <c r="D60" s="54"/>
      <c r="E60" s="54"/>
      <c r="F60" s="54"/>
      <c r="G60" s="54"/>
      <c r="H60" s="54"/>
      <c r="I60" s="54"/>
      <c r="J60" s="54"/>
      <c r="K60" s="54"/>
      <c r="L60" s="54"/>
      <c r="M60" s="54"/>
      <c r="N60" s="54"/>
      <c r="O60" s="54"/>
      <c r="P60" s="54"/>
      <c r="Q60" s="54"/>
      <c r="R60" s="54"/>
      <c r="S60" s="54"/>
      <c r="T60" s="54"/>
      <c r="U60" s="54"/>
      <c r="V60" s="54"/>
      <c r="W60" s="55"/>
      <c r="X60" s="55" t="s">
        <v>167</v>
      </c>
      <c r="Y60" s="55"/>
      <c r="Z60" s="55" t="s">
        <v>167</v>
      </c>
      <c r="AA60" s="55" t="s">
        <v>167</v>
      </c>
      <c r="AB60" s="55" t="s">
        <v>167</v>
      </c>
      <c r="AC60" s="55" t="s">
        <v>167</v>
      </c>
      <c r="AD60" s="55"/>
      <c r="AE60" s="55" t="s">
        <v>167</v>
      </c>
      <c r="AF60" s="55" t="s">
        <v>167</v>
      </c>
      <c r="AG60" s="55"/>
      <c r="AH60" s="55" t="s">
        <v>247</v>
      </c>
      <c r="AI60" s="55" t="s">
        <v>167</v>
      </c>
      <c r="AJ60" s="55" t="s">
        <v>167</v>
      </c>
      <c r="AK60" s="55" t="s">
        <v>167</v>
      </c>
      <c r="AL60" s="55">
        <v>-4989</v>
      </c>
      <c r="AM60" s="55">
        <v>-838257</v>
      </c>
      <c r="AN60" s="55">
        <v>-1156610</v>
      </c>
      <c r="AO60" s="55">
        <v>-2000869</v>
      </c>
      <c r="AP60" s="55">
        <v>-2000869</v>
      </c>
      <c r="AQ60" s="54" t="s">
        <v>167</v>
      </c>
      <c r="AR60" s="54" t="s">
        <v>167</v>
      </c>
      <c r="AS60" s="54" t="s">
        <v>167</v>
      </c>
      <c r="AT60" s="54">
        <v>0</v>
      </c>
      <c r="AU60" s="54">
        <v>0</v>
      </c>
      <c r="AV60" s="54">
        <v>0</v>
      </c>
      <c r="AW60" s="54"/>
      <c r="AX60" s="54">
        <f>'[8]EFF word'!$E$54</f>
        <v>-911428.84171000007</v>
      </c>
      <c r="AY60" s="54">
        <v>-1300864</v>
      </c>
      <c r="AZ60" s="54">
        <v>-1300864</v>
      </c>
      <c r="BA60" s="54">
        <v>-1283446</v>
      </c>
      <c r="BB60" s="54">
        <v>-1730332</v>
      </c>
      <c r="BC60" s="54">
        <v>-1798545</v>
      </c>
      <c r="BD60" s="54">
        <v>-1803203</v>
      </c>
      <c r="BE60" s="54">
        <v>-1803203</v>
      </c>
      <c r="BF60" s="54">
        <v>-451646</v>
      </c>
      <c r="BG60" s="54">
        <v>-554145.68760487624</v>
      </c>
      <c r="BH60" s="54">
        <v>-1037116</v>
      </c>
      <c r="BI60" s="54">
        <v>-1037116</v>
      </c>
      <c r="BJ60" s="54">
        <v>-1037116</v>
      </c>
      <c r="BK60" s="54">
        <v>0</v>
      </c>
      <c r="BL60" s="54">
        <v>0</v>
      </c>
      <c r="BM60" s="54">
        <v>0</v>
      </c>
      <c r="BN60" s="54">
        <v>0</v>
      </c>
      <c r="BO60" s="54">
        <v>0</v>
      </c>
      <c r="BP60" s="54">
        <v>0</v>
      </c>
      <c r="BQ60" s="54">
        <v>0</v>
      </c>
      <c r="BR60" s="54">
        <v>0</v>
      </c>
      <c r="BS60" s="87">
        <v>0</v>
      </c>
      <c r="BT60" s="87">
        <v>0</v>
      </c>
      <c r="BU60" s="54">
        <v>-198891</v>
      </c>
      <c r="BV60" s="54">
        <v>-198974</v>
      </c>
      <c r="BW60" s="54">
        <v>-198974</v>
      </c>
      <c r="BX60" s="54">
        <v>-198974</v>
      </c>
    </row>
    <row r="61" spans="1:76" x14ac:dyDescent="0.35">
      <c r="B61" s="23" t="s">
        <v>160</v>
      </c>
      <c r="C61" s="54"/>
      <c r="D61" s="54"/>
      <c r="E61" s="54"/>
      <c r="F61" s="54"/>
      <c r="G61" s="54"/>
      <c r="H61" s="54"/>
      <c r="I61" s="54"/>
      <c r="J61" s="54"/>
      <c r="K61" s="54"/>
      <c r="L61" s="54">
        <v>-159621</v>
      </c>
      <c r="M61" s="54">
        <v>-74141</v>
      </c>
      <c r="N61" s="54">
        <v>326558</v>
      </c>
      <c r="O61" s="54">
        <v>441593</v>
      </c>
      <c r="P61" s="54">
        <v>-714711</v>
      </c>
      <c r="Q61" s="54">
        <v>-714711</v>
      </c>
      <c r="R61" s="54">
        <v>-300120</v>
      </c>
      <c r="S61" s="54">
        <v>-859031</v>
      </c>
      <c r="T61" s="54">
        <v>-1248680</v>
      </c>
      <c r="U61" s="54">
        <v>-1849482</v>
      </c>
      <c r="V61" s="54">
        <v>-1824540</v>
      </c>
      <c r="W61" s="55">
        <v>-407919</v>
      </c>
      <c r="X61" s="55">
        <v>1038213</v>
      </c>
      <c r="Y61" s="55">
        <v>-1721071</v>
      </c>
      <c r="Z61" s="55">
        <v>-2355744</v>
      </c>
      <c r="AA61" s="55">
        <v>-2355744</v>
      </c>
      <c r="AB61" s="55">
        <v>-762012</v>
      </c>
      <c r="AC61" s="55">
        <v>-1545571</v>
      </c>
      <c r="AD61" s="55">
        <v>-2864484</v>
      </c>
      <c r="AE61" s="55">
        <v>3701323</v>
      </c>
      <c r="AF61" s="55">
        <v>-3701323</v>
      </c>
      <c r="AG61" s="55">
        <v>-1416036</v>
      </c>
      <c r="AH61" s="55">
        <v>-2351764</v>
      </c>
      <c r="AI61" s="55">
        <v>-3773209</v>
      </c>
      <c r="AJ61" s="55">
        <v>-4936436</v>
      </c>
      <c r="AK61" s="55">
        <v>-4895236</v>
      </c>
      <c r="AL61" s="55">
        <v>693367</v>
      </c>
      <c r="AM61" s="55">
        <v>-2797673</v>
      </c>
      <c r="AN61" s="55">
        <v>-3869496</v>
      </c>
      <c r="AO61" s="55">
        <v>-6118769</v>
      </c>
      <c r="AP61" s="55">
        <v>-4926769</v>
      </c>
      <c r="AQ61" s="54">
        <v>-1721998</v>
      </c>
      <c r="AR61" s="54">
        <v>-3509026</v>
      </c>
      <c r="AS61" s="54">
        <v>-5556885</v>
      </c>
      <c r="AT61" s="54">
        <v>-6912791</v>
      </c>
      <c r="AU61" s="54">
        <v>-4946952</v>
      </c>
      <c r="AV61" s="54">
        <v>-2207225</v>
      </c>
      <c r="AW61" s="54">
        <v>-3913442</v>
      </c>
      <c r="AX61" s="54">
        <f>'[8]EFF word'!$E$55</f>
        <v>-5408403</v>
      </c>
      <c r="AY61" s="54">
        <v>-7398169</v>
      </c>
      <c r="AZ61" s="54">
        <v>-7888186</v>
      </c>
      <c r="BA61" s="54">
        <v>-2251145</v>
      </c>
      <c r="BB61" s="54">
        <v>-3153815.67</v>
      </c>
      <c r="BC61" s="54">
        <v>-5192041</v>
      </c>
      <c r="BD61" s="163">
        <v>-6108222</v>
      </c>
      <c r="BE61" s="163">
        <v>-6108222</v>
      </c>
      <c r="BF61" s="54">
        <v>-2308278</v>
      </c>
      <c r="BG61" s="54">
        <v>-3838941.2330899998</v>
      </c>
      <c r="BH61" s="54">
        <v>-7248291</v>
      </c>
      <c r="BI61" s="54">
        <v>-7991378</v>
      </c>
      <c r="BJ61" s="54">
        <v>-7991378</v>
      </c>
      <c r="BK61" s="54">
        <v>-2635848</v>
      </c>
      <c r="BL61" s="54">
        <v>-4203267</v>
      </c>
      <c r="BM61" s="54">
        <v>-6822395</v>
      </c>
      <c r="BN61" s="54">
        <v>-8273730</v>
      </c>
      <c r="BO61" s="54">
        <v>-8273730</v>
      </c>
      <c r="BP61" s="54">
        <v>-2812416</v>
      </c>
      <c r="BQ61" s="54">
        <v>-4190317</v>
      </c>
      <c r="BR61" s="54">
        <v>-7600984</v>
      </c>
      <c r="BS61" s="87">
        <v>-9031301</v>
      </c>
      <c r="BT61" s="87">
        <v>-9031301</v>
      </c>
      <c r="BU61" s="54">
        <v>-3984278</v>
      </c>
      <c r="BV61" s="54">
        <v>-5650699</v>
      </c>
      <c r="BW61" s="54">
        <v>-9207325</v>
      </c>
      <c r="BX61" s="87">
        <v>-12361335</v>
      </c>
    </row>
    <row r="62" spans="1:76" s="22" customFormat="1" x14ac:dyDescent="0.35">
      <c r="A62" s="51"/>
      <c r="B62" s="51" t="s">
        <v>161</v>
      </c>
      <c r="C62" s="86">
        <f>C57</f>
        <v>7266787.4550000001</v>
      </c>
      <c r="D62" s="86">
        <f>D57+D58</f>
        <v>7978215.2989999996</v>
      </c>
      <c r="E62" s="86">
        <f>SUM(E52:E61)</f>
        <v>9403001.5209999997</v>
      </c>
      <c r="F62" s="86">
        <f>SUM(F52:F61)</f>
        <v>8529320.0610000007</v>
      </c>
      <c r="G62" s="86">
        <f>SUM(G52:G61)</f>
        <v>8529320.0610000007</v>
      </c>
      <c r="H62" s="86">
        <v>7755347.0389999999</v>
      </c>
      <c r="I62" s="86">
        <v>9236723.0360000003</v>
      </c>
      <c r="J62" s="86">
        <v>20641977.096999999</v>
      </c>
      <c r="K62" s="86">
        <v>7289039</v>
      </c>
      <c r="L62" s="86">
        <f>SUM(L52:L61)</f>
        <v>7289455</v>
      </c>
      <c r="M62" s="86">
        <v>20464543</v>
      </c>
      <c r="N62" s="86">
        <v>25968796</v>
      </c>
      <c r="O62" s="86">
        <v>27255837</v>
      </c>
      <c r="P62" s="86">
        <v>30947747</v>
      </c>
      <c r="Q62" s="86">
        <f>SUM(Q52:Q61)</f>
        <v>31045679</v>
      </c>
      <c r="R62" s="86">
        <v>2749994</v>
      </c>
      <c r="S62" s="86">
        <v>30624971</v>
      </c>
      <c r="T62" s="86">
        <v>27951426</v>
      </c>
      <c r="U62" s="86">
        <v>24041787</v>
      </c>
      <c r="V62" s="86">
        <f>SUM(V52:V61)</f>
        <v>22906866</v>
      </c>
      <c r="W62" s="125">
        <v>8047544</v>
      </c>
      <c r="X62" s="125">
        <v>5321453</v>
      </c>
      <c r="Y62" s="125">
        <v>1817465</v>
      </c>
      <c r="Z62" s="125">
        <v>6048764</v>
      </c>
      <c r="AA62" s="86">
        <f>SUM(AA52:AA61)</f>
        <v>6048765</v>
      </c>
      <c r="AB62" s="125">
        <v>-2137460</v>
      </c>
      <c r="AC62" s="125">
        <v>194582</v>
      </c>
      <c r="AD62" s="125">
        <v>-3436252</v>
      </c>
      <c r="AE62" s="125">
        <v>4813674</v>
      </c>
      <c r="AF62" s="86">
        <f>SUM(AF52:AF61)</f>
        <v>-4813674</v>
      </c>
      <c r="AG62" s="125">
        <v>-2840712</v>
      </c>
      <c r="AH62" s="125">
        <v>-4214382</v>
      </c>
      <c r="AI62" s="125">
        <v>-6486876</v>
      </c>
      <c r="AJ62" s="125">
        <v>3708316</v>
      </c>
      <c r="AK62" s="86">
        <f>SUM(AK52:AK61)</f>
        <v>3749516</v>
      </c>
      <c r="AL62" s="125">
        <v>-2155200</v>
      </c>
      <c r="AM62" s="125">
        <v>-3963662</v>
      </c>
      <c r="AN62" s="125">
        <v>-2683637</v>
      </c>
      <c r="AO62" s="125">
        <v>5408090</v>
      </c>
      <c r="AP62" s="86">
        <f>SUM(AP52:AP61)</f>
        <v>-4216090</v>
      </c>
      <c r="AQ62" s="86">
        <v>-1024871</v>
      </c>
      <c r="AR62" s="86">
        <v>12657798</v>
      </c>
      <c r="AS62" s="86">
        <v>5975787</v>
      </c>
      <c r="AT62" s="86">
        <v>13595190.67918</v>
      </c>
      <c r="AU62" s="86">
        <f>SUM(AU52:AU61)</f>
        <v>15561029.67918</v>
      </c>
      <c r="AV62" s="86">
        <f>SUM(AV52:AV61)</f>
        <v>-1025998</v>
      </c>
      <c r="AW62" s="86">
        <v>8137016.9990699999</v>
      </c>
      <c r="AX62" s="86">
        <f>SUM(AX53:AX61)</f>
        <v>12630174.857359994</v>
      </c>
      <c r="AY62" s="86">
        <f>SUM(AY53:AY61)</f>
        <v>928416</v>
      </c>
      <c r="AZ62" s="86">
        <f>SUM(AZ52:AZ61)</f>
        <v>-540436</v>
      </c>
      <c r="BA62" s="86">
        <f t="shared" ref="BA62:BI62" si="15">SUM(BA52:BA61)</f>
        <v>-576677.00000000093</v>
      </c>
      <c r="BB62" s="86">
        <f t="shared" si="15"/>
        <v>-3819992.1300000004</v>
      </c>
      <c r="BC62" s="86">
        <f t="shared" si="15"/>
        <v>-6156509</v>
      </c>
      <c r="BD62" s="86">
        <f t="shared" si="15"/>
        <v>-6856634</v>
      </c>
      <c r="BE62" s="86">
        <f>SUM(BE52:BE61)</f>
        <v>-6856634</v>
      </c>
      <c r="BF62" s="86">
        <f t="shared" si="15"/>
        <v>-4276230</v>
      </c>
      <c r="BG62" s="86">
        <f t="shared" si="15"/>
        <v>-3901111.4891313254</v>
      </c>
      <c r="BH62" s="86">
        <f t="shared" si="15"/>
        <v>-7549212</v>
      </c>
      <c r="BI62" s="86">
        <f t="shared" si="15"/>
        <v>-9530815</v>
      </c>
      <c r="BJ62" s="86">
        <f>SUM(BJ52:BJ61)</f>
        <v>-9530815</v>
      </c>
      <c r="BK62" s="86">
        <f t="shared" ref="BK62:BS62" si="16">SUM(BK52:BK61)</f>
        <v>-7001054</v>
      </c>
      <c r="BL62" s="86">
        <f t="shared" si="16"/>
        <v>-11615462</v>
      </c>
      <c r="BM62" s="86">
        <f t="shared" si="16"/>
        <v>-16807289</v>
      </c>
      <c r="BN62" s="86">
        <f t="shared" si="16"/>
        <v>-19838612</v>
      </c>
      <c r="BO62" s="86">
        <f t="shared" si="16"/>
        <v>-19838612</v>
      </c>
      <c r="BP62" s="86">
        <f t="shared" si="16"/>
        <v>-4482619</v>
      </c>
      <c r="BQ62" s="86">
        <f t="shared" si="16"/>
        <v>-5825444</v>
      </c>
      <c r="BR62" s="86">
        <f t="shared" si="16"/>
        <v>-10761273</v>
      </c>
      <c r="BS62" s="86">
        <f t="shared" si="16"/>
        <v>-14046659</v>
      </c>
      <c r="BT62" s="86">
        <f t="shared" ref="BT62:BX62" si="17">SUM(BT52:BT61)</f>
        <v>-14046659</v>
      </c>
      <c r="BU62" s="86">
        <f>SUM(BU52:BU61)</f>
        <v>-4146912</v>
      </c>
      <c r="BV62" s="86">
        <f t="shared" si="17"/>
        <v>-6202046</v>
      </c>
      <c r="BW62" s="86">
        <f t="shared" si="17"/>
        <v>-9286799</v>
      </c>
      <c r="BX62" s="86">
        <f t="shared" si="17"/>
        <v>589693</v>
      </c>
    </row>
    <row r="63" spans="1:76" x14ac:dyDescent="0.35">
      <c r="B63" s="51"/>
      <c r="C63" s="47"/>
      <c r="D63" s="47"/>
      <c r="E63" s="47"/>
      <c r="F63" s="47"/>
      <c r="G63" s="47"/>
      <c r="H63" s="47"/>
      <c r="I63" s="47"/>
      <c r="J63" s="47"/>
      <c r="K63" s="47"/>
      <c r="L63" s="47"/>
      <c r="M63" s="47"/>
      <c r="N63" s="47"/>
      <c r="O63" s="47"/>
      <c r="P63" s="47"/>
      <c r="Q63" s="47"/>
      <c r="R63" s="47"/>
      <c r="S63" s="47"/>
      <c r="T63" s="47"/>
      <c r="U63" s="47"/>
      <c r="V63" s="47"/>
      <c r="W63" s="123"/>
      <c r="X63" s="123"/>
      <c r="Y63" s="123"/>
      <c r="Z63" s="123"/>
      <c r="AA63" s="123"/>
      <c r="AB63" s="123"/>
      <c r="AC63" s="123"/>
      <c r="AD63" s="123"/>
      <c r="AE63" s="123"/>
      <c r="AF63" s="123"/>
      <c r="AG63" s="123"/>
      <c r="AH63" s="123"/>
      <c r="AI63" s="123"/>
      <c r="AJ63" s="123"/>
      <c r="AK63" s="123"/>
      <c r="AL63" s="123"/>
      <c r="AM63" s="123"/>
      <c r="AN63" s="123"/>
      <c r="AO63" s="123"/>
      <c r="AP63" s="123"/>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row>
    <row r="64" spans="1:76" s="22" customFormat="1" x14ac:dyDescent="0.35">
      <c r="A64" s="51"/>
      <c r="B64" s="51" t="s">
        <v>162</v>
      </c>
      <c r="C64" s="87"/>
      <c r="D64" s="87"/>
      <c r="E64" s="87"/>
      <c r="F64" s="87"/>
      <c r="G64" s="87"/>
      <c r="H64" s="87"/>
      <c r="I64" s="87"/>
      <c r="J64" s="87"/>
      <c r="K64" s="87"/>
      <c r="L64" s="87"/>
      <c r="M64" s="87"/>
      <c r="N64" s="87"/>
      <c r="O64" s="87"/>
      <c r="P64" s="87"/>
      <c r="Q64" s="87"/>
      <c r="R64" s="87"/>
      <c r="S64" s="87"/>
      <c r="T64" s="87"/>
      <c r="U64" s="87"/>
      <c r="V64" s="87"/>
      <c r="W64" s="127"/>
      <c r="X64" s="127"/>
      <c r="Y64" s="127"/>
      <c r="Z64" s="127"/>
      <c r="AA64" s="127"/>
      <c r="AB64" s="127"/>
      <c r="AC64" s="127"/>
      <c r="AD64" s="127"/>
      <c r="AE64" s="127"/>
      <c r="AF64" s="127"/>
      <c r="AG64" s="127"/>
      <c r="AH64" s="127"/>
      <c r="AI64" s="127"/>
      <c r="AJ64" s="127"/>
      <c r="AK64" s="127"/>
      <c r="AL64" s="127"/>
      <c r="AM64" s="127"/>
      <c r="AN64" s="127"/>
      <c r="AO64" s="127"/>
      <c r="AP64" s="127"/>
      <c r="AQ64" s="87"/>
      <c r="AR64" s="87"/>
      <c r="AS64" s="87"/>
      <c r="AT64" s="87"/>
      <c r="AU64" s="87"/>
      <c r="AV64" s="87"/>
      <c r="AW64" s="87"/>
      <c r="AX64" s="87"/>
      <c r="AY64" s="87"/>
      <c r="AZ64" s="87"/>
      <c r="BA64" s="87"/>
      <c r="BB64" s="87"/>
      <c r="BC64" s="87"/>
      <c r="BD64" s="87"/>
      <c r="BE64" s="87"/>
      <c r="BF64" s="87"/>
      <c r="BG64" s="87"/>
      <c r="BH64" s="87"/>
      <c r="BI64" s="87"/>
      <c r="BJ64" s="87"/>
      <c r="BK64" s="87"/>
      <c r="BL64" s="87"/>
      <c r="BM64" s="87"/>
      <c r="BN64" s="87"/>
      <c r="BO64" s="87"/>
      <c r="BP64" s="87"/>
      <c r="BQ64" s="87"/>
      <c r="BR64" s="87"/>
      <c r="BS64" s="87"/>
      <c r="BT64" s="87"/>
      <c r="BU64" s="87"/>
      <c r="BV64" s="87"/>
      <c r="BW64" s="87"/>
      <c r="BX64" s="87"/>
    </row>
    <row r="65" spans="1:76" x14ac:dyDescent="0.35">
      <c r="B65" s="23" t="s">
        <v>163</v>
      </c>
      <c r="C65" s="54"/>
      <c r="D65" s="54"/>
      <c r="E65" s="54"/>
      <c r="F65" s="54"/>
      <c r="G65" s="54">
        <v>257071.12599999999</v>
      </c>
      <c r="H65" s="54">
        <v>256923.163</v>
      </c>
      <c r="I65" s="54">
        <v>257071.12599999999</v>
      </c>
      <c r="J65" s="54">
        <v>257071.12599999999</v>
      </c>
      <c r="K65" s="54">
        <v>256923</v>
      </c>
      <c r="L65" s="54">
        <v>352066</v>
      </c>
      <c r="M65" s="54">
        <v>19105409</v>
      </c>
      <c r="N65" s="54">
        <v>16560422</v>
      </c>
      <c r="O65" s="54">
        <v>13775811</v>
      </c>
      <c r="P65" s="54">
        <v>1003843</v>
      </c>
      <c r="Q65" s="54">
        <v>1003843</v>
      </c>
      <c r="R65" s="54">
        <v>-367583</v>
      </c>
      <c r="S65" s="54">
        <v>-427611</v>
      </c>
      <c r="T65" s="54">
        <v>-829111</v>
      </c>
      <c r="U65" s="54">
        <v>-863610</v>
      </c>
      <c r="V65" s="54">
        <v>-863610</v>
      </c>
      <c r="W65" s="55">
        <v>362589</v>
      </c>
      <c r="X65" s="55">
        <v>511070</v>
      </c>
      <c r="Y65" s="55">
        <v>85423</v>
      </c>
      <c r="Z65" s="55">
        <v>5495070</v>
      </c>
      <c r="AA65" s="55">
        <v>5495070</v>
      </c>
      <c r="AB65" s="55">
        <v>489882</v>
      </c>
      <c r="AC65" s="55">
        <v>415757</v>
      </c>
      <c r="AD65" s="55">
        <v>-841328</v>
      </c>
      <c r="AE65" s="55">
        <v>-441798</v>
      </c>
      <c r="AF65" s="55">
        <v>-786293</v>
      </c>
      <c r="AG65" s="55">
        <v>-2547797</v>
      </c>
      <c r="AH65" s="55">
        <v>-3683180</v>
      </c>
      <c r="AI65" s="55">
        <v>-3570943</v>
      </c>
      <c r="AJ65" s="55">
        <v>-2325676</v>
      </c>
      <c r="AK65" s="55">
        <v>-1875773</v>
      </c>
      <c r="AL65" s="55">
        <v>521414</v>
      </c>
      <c r="AM65" s="55">
        <v>275496</v>
      </c>
      <c r="AN65" s="55">
        <v>2786117</v>
      </c>
      <c r="AO65" s="55">
        <v>1180482</v>
      </c>
      <c r="AP65" s="55">
        <v>-1225522</v>
      </c>
      <c r="AQ65" s="54">
        <v>-1067508</v>
      </c>
      <c r="AR65" s="54">
        <v>13743408</v>
      </c>
      <c r="AS65" s="54">
        <v>9314147</v>
      </c>
      <c r="AT65" s="54">
        <v>-1366012.3162900005</v>
      </c>
      <c r="AU65" s="54">
        <v>-1366012</v>
      </c>
      <c r="AV65" s="54">
        <f>AV33+AV51+AV62</f>
        <v>1026040</v>
      </c>
      <c r="AW65" s="54">
        <v>11814398.99907</v>
      </c>
      <c r="AX65" s="54">
        <f>'[8]EFF word'!$E$59</f>
        <v>15331021.503599998</v>
      </c>
      <c r="AY65" s="54">
        <v>4703679</v>
      </c>
      <c r="AZ65" s="54">
        <v>4703679</v>
      </c>
      <c r="BA65" s="54">
        <f>BA33+BA51+BA62</f>
        <v>-2926333.4000000008</v>
      </c>
      <c r="BB65" s="54">
        <f>BB33+BB51+BB62</f>
        <v>-4032777.0000000005</v>
      </c>
      <c r="BC65" s="54">
        <f>BC33+BC51+BC62</f>
        <v>-4244228</v>
      </c>
      <c r="BD65" s="54">
        <f>BD33+BD51+BD62</f>
        <v>-1007082</v>
      </c>
      <c r="BE65" s="54">
        <v>-1007082</v>
      </c>
      <c r="BF65" s="54">
        <f>BF33+BF51+BF62</f>
        <v>-2402786</v>
      </c>
      <c r="BG65" s="54">
        <f t="shared" ref="BG65:BM65" si="18">BG33+BG51+BG62</f>
        <v>-1481432.602624333</v>
      </c>
      <c r="BH65" s="54">
        <f t="shared" si="18"/>
        <v>-1860872</v>
      </c>
      <c r="BI65" s="54">
        <f t="shared" si="18"/>
        <v>147600</v>
      </c>
      <c r="BJ65" s="54">
        <f t="shared" si="18"/>
        <v>147600</v>
      </c>
      <c r="BK65" s="54">
        <f t="shared" si="18"/>
        <v>-3815195</v>
      </c>
      <c r="BL65" s="54">
        <f t="shared" si="18"/>
        <v>-2512343</v>
      </c>
      <c r="BM65" s="54">
        <f t="shared" si="18"/>
        <v>-4223510.42</v>
      </c>
      <c r="BN65" s="54">
        <v>-4060469</v>
      </c>
      <c r="BO65" s="54">
        <v>-4060469</v>
      </c>
      <c r="BP65" s="54">
        <v>-1032985</v>
      </c>
      <c r="BQ65" s="54">
        <f t="shared" ref="BQ65:BR65" si="19">BQ33+BQ51+BQ62</f>
        <v>1855374</v>
      </c>
      <c r="BR65" s="54">
        <f t="shared" si="19"/>
        <v>-158208</v>
      </c>
      <c r="BS65" s="54">
        <v>1691959</v>
      </c>
      <c r="BT65" s="54">
        <v>1691959</v>
      </c>
      <c r="BU65" s="54">
        <v>-2510028</v>
      </c>
      <c r="BV65" s="54">
        <v>-321483</v>
      </c>
      <c r="BW65" s="54">
        <v>-1647672</v>
      </c>
      <c r="BX65" s="54">
        <v>9203222</v>
      </c>
    </row>
    <row r="66" spans="1:76" x14ac:dyDescent="0.35">
      <c r="B66" s="191" t="s">
        <v>442</v>
      </c>
      <c r="C66" s="54"/>
      <c r="D66" s="54"/>
      <c r="E66" s="54"/>
      <c r="F66" s="54"/>
      <c r="G66" s="54"/>
      <c r="H66" s="54"/>
      <c r="I66" s="54"/>
      <c r="J66" s="54"/>
      <c r="K66" s="54"/>
      <c r="L66" s="54"/>
      <c r="M66" s="54"/>
      <c r="N66" s="54"/>
      <c r="O66" s="54"/>
      <c r="P66" s="54"/>
      <c r="Q66" s="54"/>
      <c r="R66" s="54"/>
      <c r="S66" s="54"/>
      <c r="T66" s="54"/>
      <c r="U66" s="54"/>
      <c r="V66" s="54"/>
      <c r="W66" s="55"/>
      <c r="X66" s="55"/>
      <c r="Y66" s="55"/>
      <c r="Z66" s="55"/>
      <c r="AA66" s="55"/>
      <c r="AB66" s="55"/>
      <c r="AC66" s="55"/>
      <c r="AD66" s="55"/>
      <c r="AE66" s="55"/>
      <c r="AF66" s="55"/>
      <c r="AG66" s="55"/>
      <c r="AH66" s="55"/>
      <c r="AI66" s="55"/>
      <c r="AJ66" s="55"/>
      <c r="AK66" s="55"/>
      <c r="AL66" s="55"/>
      <c r="AM66" s="55"/>
      <c r="AN66" s="55"/>
      <c r="AO66" s="55"/>
      <c r="AP66" s="55"/>
      <c r="AQ66" s="54"/>
      <c r="AR66" s="54"/>
      <c r="AS66" s="54"/>
      <c r="AT66" s="54"/>
      <c r="AU66" s="54"/>
      <c r="AV66" s="54"/>
      <c r="AW66" s="54"/>
      <c r="AX66" s="54"/>
      <c r="AY66" s="54"/>
      <c r="AZ66" s="54"/>
      <c r="BA66" s="54"/>
      <c r="BB66" s="54"/>
      <c r="BC66" s="54"/>
      <c r="BD66" s="54"/>
      <c r="BE66" s="54"/>
      <c r="BF66" s="54"/>
      <c r="BG66" s="54"/>
      <c r="BH66" s="54"/>
      <c r="BI66" s="54"/>
      <c r="BJ66" s="54"/>
      <c r="BK66" s="54"/>
      <c r="BL66" s="54"/>
      <c r="BM66" s="54"/>
      <c r="BN66" s="54"/>
      <c r="BO66" s="54">
        <v>0</v>
      </c>
      <c r="BP66" s="54">
        <v>0</v>
      </c>
      <c r="BQ66" s="54">
        <v>0</v>
      </c>
      <c r="BR66" s="54">
        <v>0</v>
      </c>
      <c r="BS66" s="54">
        <v>0</v>
      </c>
      <c r="BT66" s="54">
        <v>0</v>
      </c>
      <c r="BU66" s="54">
        <v>0</v>
      </c>
      <c r="BV66" s="54">
        <v>0</v>
      </c>
      <c r="BW66" s="54">
        <v>0</v>
      </c>
      <c r="BX66" s="54">
        <v>155706</v>
      </c>
    </row>
    <row r="67" spans="1:76" x14ac:dyDescent="0.35">
      <c r="B67" s="51" t="s">
        <v>164</v>
      </c>
      <c r="C67" s="87"/>
      <c r="D67" s="87"/>
      <c r="E67" s="87"/>
      <c r="F67" s="87"/>
      <c r="G67" s="87"/>
      <c r="H67" s="87">
        <v>7090222.7920000004</v>
      </c>
      <c r="I67" s="87">
        <v>3919555.4419999998</v>
      </c>
      <c r="J67" s="87">
        <v>2224488.429</v>
      </c>
      <c r="K67" s="87">
        <v>1790789</v>
      </c>
      <c r="L67" s="87">
        <v>8549</v>
      </c>
      <c r="M67" s="87">
        <v>2047712</v>
      </c>
      <c r="N67" s="87">
        <v>2047712</v>
      </c>
      <c r="O67" s="87">
        <v>2047712</v>
      </c>
      <c r="P67" s="87">
        <v>360615</v>
      </c>
      <c r="Q67" s="87">
        <v>360615</v>
      </c>
      <c r="R67" s="87">
        <v>1364458</v>
      </c>
      <c r="S67" s="87">
        <v>1364458</v>
      </c>
      <c r="T67" s="87">
        <v>1364458</v>
      </c>
      <c r="U67" s="87">
        <v>1364458</v>
      </c>
      <c r="V67" s="87">
        <v>1364458</v>
      </c>
      <c r="W67" s="127">
        <v>500848</v>
      </c>
      <c r="X67" s="127">
        <v>500848</v>
      </c>
      <c r="Y67" s="127">
        <v>500848</v>
      </c>
      <c r="Z67" s="127">
        <v>500848</v>
      </c>
      <c r="AA67" s="127">
        <v>500848</v>
      </c>
      <c r="AB67" s="127">
        <v>5995918</v>
      </c>
      <c r="AC67" s="127">
        <v>5995918</v>
      </c>
      <c r="AD67" s="127">
        <v>5995918</v>
      </c>
      <c r="AE67" s="127">
        <v>5995918</v>
      </c>
      <c r="AF67" s="127">
        <v>8296514</v>
      </c>
      <c r="AG67" s="127">
        <v>5554120</v>
      </c>
      <c r="AH67" s="127">
        <v>5554120</v>
      </c>
      <c r="AI67" s="127">
        <v>5554120</v>
      </c>
      <c r="AJ67" s="127">
        <v>5554120</v>
      </c>
      <c r="AK67" s="127">
        <v>7510221</v>
      </c>
      <c r="AL67" s="127" t="s">
        <v>248</v>
      </c>
      <c r="AM67" s="127">
        <v>3228444</v>
      </c>
      <c r="AN67" s="127">
        <v>3228444</v>
      </c>
      <c r="AO67" s="127">
        <v>3228444</v>
      </c>
      <c r="AP67" s="127">
        <v>5634448</v>
      </c>
      <c r="AQ67" s="87">
        <v>4408926</v>
      </c>
      <c r="AR67" s="87">
        <v>4408926</v>
      </c>
      <c r="AS67" s="87">
        <v>4408926</v>
      </c>
      <c r="AT67" s="87">
        <v>4408926</v>
      </c>
      <c r="AU67" s="87">
        <v>4408926</v>
      </c>
      <c r="AV67" s="87">
        <v>3042914</v>
      </c>
      <c r="AW67" s="87">
        <v>3042914</v>
      </c>
      <c r="AX67" s="87">
        <f>'[8]EFF word'!$E$60</f>
        <v>3042914</v>
      </c>
      <c r="AY67" s="87">
        <v>3042914</v>
      </c>
      <c r="AZ67" s="87">
        <v>3042914</v>
      </c>
      <c r="BA67" s="87">
        <v>7746593</v>
      </c>
      <c r="BB67" s="87">
        <v>7746593</v>
      </c>
      <c r="BC67" s="87">
        <v>7746593</v>
      </c>
      <c r="BD67" s="87">
        <v>7746593</v>
      </c>
      <c r="BE67" s="87">
        <v>7746593</v>
      </c>
      <c r="BF67" s="87">
        <v>6739511</v>
      </c>
      <c r="BG67" s="87">
        <v>6739511</v>
      </c>
      <c r="BH67" s="87">
        <v>6739511</v>
      </c>
      <c r="BI67" s="87">
        <v>6739511</v>
      </c>
      <c r="BJ67" s="87">
        <v>6739511</v>
      </c>
      <c r="BK67" s="87">
        <v>6887111</v>
      </c>
      <c r="BL67" s="87">
        <v>6887111</v>
      </c>
      <c r="BM67" s="87">
        <v>6887111</v>
      </c>
      <c r="BN67" s="87">
        <v>6887111</v>
      </c>
      <c r="BO67" s="87">
        <v>6887111</v>
      </c>
      <c r="BP67" s="87">
        <v>2826642</v>
      </c>
      <c r="BQ67" s="87">
        <v>2826642</v>
      </c>
      <c r="BR67" s="87">
        <v>2826642.33306525</v>
      </c>
      <c r="BS67" s="87">
        <v>2826642</v>
      </c>
      <c r="BT67" s="87">
        <v>2826642</v>
      </c>
      <c r="BU67" s="87">
        <v>4518601</v>
      </c>
      <c r="BV67" s="87">
        <v>4518601</v>
      </c>
      <c r="BW67" s="87">
        <v>4518601</v>
      </c>
      <c r="BX67" s="87">
        <v>4518601</v>
      </c>
    </row>
    <row r="68" spans="1:76" x14ac:dyDescent="0.35">
      <c r="C68" s="54"/>
      <c r="D68" s="54"/>
      <c r="E68" s="54"/>
      <c r="F68" s="54"/>
      <c r="G68" s="54"/>
      <c r="H68" s="54"/>
      <c r="I68" s="54"/>
      <c r="J68" s="54"/>
      <c r="K68" s="54"/>
      <c r="L68" s="54"/>
      <c r="M68" s="54"/>
      <c r="N68" s="54"/>
      <c r="O68" s="54"/>
      <c r="P68" s="54"/>
      <c r="Q68" s="54"/>
      <c r="R68" s="54"/>
      <c r="S68" s="54"/>
      <c r="T68" s="54"/>
      <c r="U68" s="54"/>
      <c r="V68" s="54"/>
      <c r="W68" s="55"/>
      <c r="X68" s="55"/>
      <c r="Y68" s="55"/>
      <c r="Z68" s="55"/>
      <c r="AA68" s="55"/>
      <c r="AB68" s="55"/>
      <c r="AC68" s="55"/>
      <c r="AD68" s="55"/>
      <c r="AE68" s="55"/>
      <c r="AF68" s="55"/>
      <c r="AG68" s="55"/>
      <c r="AH68" s="55"/>
      <c r="AI68" s="55"/>
      <c r="AJ68" s="55"/>
      <c r="AK68" s="55"/>
      <c r="AL68" s="55"/>
      <c r="AM68" s="55"/>
      <c r="AN68" s="55"/>
      <c r="AO68" s="55"/>
      <c r="AP68" s="55"/>
      <c r="AQ68" s="54"/>
      <c r="AR68" s="54"/>
      <c r="AS68" s="54"/>
      <c r="AT68" s="54"/>
      <c r="AU68" s="54"/>
      <c r="AV68" s="54"/>
      <c r="AW68" s="54"/>
      <c r="AX68" s="54"/>
      <c r="AY68" s="54"/>
      <c r="AZ68" s="54"/>
      <c r="BA68" s="54"/>
      <c r="BB68" s="54"/>
      <c r="BC68" s="54"/>
      <c r="BD68" s="54"/>
      <c r="BE68" s="54"/>
      <c r="BF68" s="54"/>
      <c r="BG68" s="54"/>
      <c r="BH68" s="54"/>
      <c r="BI68" s="54"/>
      <c r="BJ68" s="54"/>
      <c r="BK68" s="54"/>
      <c r="BL68" s="54"/>
      <c r="BM68" s="54"/>
      <c r="BN68" s="54"/>
      <c r="BO68" s="54"/>
      <c r="BP68" s="54"/>
      <c r="BQ68" s="54"/>
      <c r="BR68" s="54"/>
      <c r="BS68" s="54"/>
      <c r="BT68" s="54"/>
      <c r="BU68" s="54"/>
      <c r="BV68" s="54"/>
      <c r="BW68" s="54"/>
      <c r="BX68" s="54"/>
    </row>
    <row r="69" spans="1:76" ht="15" thickBot="1" x14ac:dyDescent="0.4">
      <c r="A69" s="51"/>
      <c r="B69" s="51" t="s">
        <v>165</v>
      </c>
      <c r="C69" s="88">
        <v>2855681.1</v>
      </c>
      <c r="D69" s="88">
        <v>496437.27799999999</v>
      </c>
      <c r="E69" s="88">
        <v>254167.91399999999</v>
      </c>
      <c r="F69" s="88">
        <v>257071.12599999999</v>
      </c>
      <c r="G69" s="88">
        <f>G65+G67</f>
        <v>257071.12599999999</v>
      </c>
      <c r="H69" s="88">
        <v>7347145.4550000001</v>
      </c>
      <c r="I69" s="88">
        <v>4176626.568</v>
      </c>
      <c r="J69" s="88">
        <v>2481559.5550000002</v>
      </c>
      <c r="K69" s="88">
        <v>2047712</v>
      </c>
      <c r="L69" s="88">
        <f>L65+L67</f>
        <v>360615</v>
      </c>
      <c r="M69" s="88">
        <v>21153121</v>
      </c>
      <c r="N69" s="88">
        <v>18608134</v>
      </c>
      <c r="O69" s="88">
        <v>15823523</v>
      </c>
      <c r="P69" s="88">
        <v>1364458</v>
      </c>
      <c r="Q69" s="88">
        <f>Q65+Q67</f>
        <v>1364458</v>
      </c>
      <c r="R69" s="88">
        <v>996875</v>
      </c>
      <c r="S69" s="88">
        <v>936847</v>
      </c>
      <c r="T69" s="88">
        <v>535347</v>
      </c>
      <c r="U69" s="88">
        <v>500848</v>
      </c>
      <c r="V69" s="88">
        <f>V65+V67</f>
        <v>500848</v>
      </c>
      <c r="W69" s="128">
        <v>863437</v>
      </c>
      <c r="X69" s="128">
        <v>1011918</v>
      </c>
      <c r="Y69" s="128">
        <v>586271</v>
      </c>
      <c r="Z69" s="128">
        <v>5995918</v>
      </c>
      <c r="AA69" s="88">
        <f>AA65+AA67</f>
        <v>5995918</v>
      </c>
      <c r="AB69" s="128">
        <v>6485800</v>
      </c>
      <c r="AC69" s="128">
        <v>6411870</v>
      </c>
      <c r="AD69" s="128">
        <v>5154590</v>
      </c>
      <c r="AE69" s="128">
        <v>5554120</v>
      </c>
      <c r="AF69" s="88">
        <f>AF65+AF67</f>
        <v>7510221</v>
      </c>
      <c r="AG69" s="128">
        <v>3006323</v>
      </c>
      <c r="AH69" s="128">
        <v>1870940</v>
      </c>
      <c r="AI69" s="128">
        <v>1983177</v>
      </c>
      <c r="AJ69" s="128">
        <v>3228444</v>
      </c>
      <c r="AK69" s="88">
        <f>AK65+AK67</f>
        <v>5634448</v>
      </c>
      <c r="AL69" s="128">
        <v>3749858</v>
      </c>
      <c r="AM69" s="128">
        <v>3503940</v>
      </c>
      <c r="AN69" s="128">
        <v>6014561</v>
      </c>
      <c r="AO69" s="128">
        <v>4408926</v>
      </c>
      <c r="AP69" s="88">
        <f>AP65+AP67</f>
        <v>4408926</v>
      </c>
      <c r="AQ69" s="88">
        <v>3341418</v>
      </c>
      <c r="AR69" s="88">
        <v>18152334</v>
      </c>
      <c r="AS69" s="88">
        <v>13723073</v>
      </c>
      <c r="AT69" s="88">
        <v>3042913.6837099995</v>
      </c>
      <c r="AU69" s="88">
        <f>AU65+AU67</f>
        <v>3042914</v>
      </c>
      <c r="AV69" s="88">
        <f>AV65+AV67</f>
        <v>4068954</v>
      </c>
      <c r="AW69" s="88">
        <v>14857312.99907</v>
      </c>
      <c r="AX69" s="88">
        <f>SUM(AX65:AX67)</f>
        <v>18373935.503599998</v>
      </c>
      <c r="AY69" s="88">
        <f>SUM(AY65:AY67)</f>
        <v>7746593</v>
      </c>
      <c r="AZ69" s="88">
        <f>AZ65+AZ67</f>
        <v>7746593</v>
      </c>
      <c r="BA69" s="88">
        <f t="shared" ref="BA69:BI69" si="20">BA65+BA67</f>
        <v>4820259.5999999996</v>
      </c>
      <c r="BB69" s="88">
        <f t="shared" si="20"/>
        <v>3713815.9999999995</v>
      </c>
      <c r="BC69" s="88">
        <f t="shared" si="20"/>
        <v>3502365</v>
      </c>
      <c r="BD69" s="88">
        <f t="shared" si="20"/>
        <v>6739511</v>
      </c>
      <c r="BE69" s="88">
        <f>BE65+BE67</f>
        <v>6739511</v>
      </c>
      <c r="BF69" s="88">
        <f t="shared" si="20"/>
        <v>4336725</v>
      </c>
      <c r="BG69" s="88">
        <f t="shared" si="20"/>
        <v>5258078.3973756675</v>
      </c>
      <c r="BH69" s="88">
        <f t="shared" si="20"/>
        <v>4878639</v>
      </c>
      <c r="BI69" s="88">
        <f t="shared" si="20"/>
        <v>6887111</v>
      </c>
      <c r="BJ69" s="88">
        <f>BJ65+BJ67</f>
        <v>6887111</v>
      </c>
      <c r="BK69" s="88">
        <f t="shared" ref="BK69:BS69" si="21">BK65+BK67</f>
        <v>3071916</v>
      </c>
      <c r="BL69" s="88">
        <f t="shared" si="21"/>
        <v>4374768</v>
      </c>
      <c r="BM69" s="88">
        <f t="shared" si="21"/>
        <v>2663600.58</v>
      </c>
      <c r="BN69" s="88">
        <f t="shared" si="21"/>
        <v>2826642</v>
      </c>
      <c r="BO69" s="88">
        <f t="shared" si="21"/>
        <v>2826642</v>
      </c>
      <c r="BP69" s="88">
        <f t="shared" si="21"/>
        <v>1793657</v>
      </c>
      <c r="BQ69" s="88">
        <f t="shared" si="21"/>
        <v>4682016</v>
      </c>
      <c r="BR69" s="88">
        <f t="shared" si="21"/>
        <v>2668434.33306525</v>
      </c>
      <c r="BS69" s="88">
        <f t="shared" si="21"/>
        <v>4518601</v>
      </c>
      <c r="BT69" s="88">
        <f t="shared" ref="BT69:BV69" si="22">BT65+BT67</f>
        <v>4518601</v>
      </c>
      <c r="BU69" s="88">
        <f>BU65+BU67</f>
        <v>2008573</v>
      </c>
      <c r="BV69" s="88">
        <f t="shared" si="22"/>
        <v>4197118</v>
      </c>
      <c r="BW69" s="88">
        <f>SUM(BW65:BW67)</f>
        <v>2870929</v>
      </c>
      <c r="BX69" s="88">
        <f>SUM(BX65:BX67)</f>
        <v>13877529</v>
      </c>
    </row>
    <row r="70" spans="1:76" ht="15" thickTop="1" x14ac:dyDescent="0.35">
      <c r="BK70" s="45"/>
      <c r="BL70" s="45"/>
      <c r="BP70" s="45"/>
      <c r="BQ70" s="45"/>
      <c r="BS70" s="45"/>
      <c r="BU70" s="45"/>
      <c r="BV70" s="45"/>
      <c r="BX70" s="45"/>
    </row>
    <row r="71" spans="1:76" x14ac:dyDescent="0.35">
      <c r="BS71" s="184"/>
      <c r="BX71" s="184"/>
    </row>
    <row r="73" spans="1:76" x14ac:dyDescent="0.35">
      <c r="BF73" s="45"/>
      <c r="BG73" s="45"/>
      <c r="BH73" s="45"/>
      <c r="BI73" s="45"/>
      <c r="BJ73" s="45"/>
      <c r="BK73" s="45"/>
      <c r="BL73" s="45"/>
      <c r="BP73" s="45"/>
      <c r="BQ73" s="45"/>
      <c r="BU73" s="45"/>
      <c r="BV73" s="45"/>
    </row>
  </sheetData>
  <conditionalFormatting sqref="AG3:AN3">
    <cfRule type="cellIs" dxfId="15" priority="13" operator="equal">
      <formula>0</formula>
    </cfRule>
    <cfRule type="cellIs" dxfId="14" priority="14" operator="equal">
      <formula>1</formula>
    </cfRule>
  </conditionalFormatting>
  <conditionalFormatting sqref="AQ3:AS3">
    <cfRule type="cellIs" dxfId="13" priority="15" operator="equal">
      <formula>0</formula>
    </cfRule>
    <cfRule type="cellIs" dxfId="12" priority="16" operator="equal">
      <formula>1</formula>
    </cfRule>
  </conditionalFormatting>
  <conditionalFormatting sqref="AV3:AX3">
    <cfRule type="cellIs" dxfId="11" priority="11" operator="equal">
      <formula>0</formula>
    </cfRule>
    <cfRule type="cellIs" dxfId="10" priority="12" operator="equal">
      <formula>1</formula>
    </cfRule>
  </conditionalFormatting>
  <conditionalFormatting sqref="BA3:BC3">
    <cfRule type="cellIs" dxfId="9" priority="9" operator="equal">
      <formula>0</formula>
    </cfRule>
    <cfRule type="cellIs" dxfId="8" priority="10" operator="equal">
      <formula>1</formula>
    </cfRule>
  </conditionalFormatting>
  <conditionalFormatting sqref="BF3:BH3">
    <cfRule type="cellIs" dxfId="7" priority="7" operator="equal">
      <formula>0</formula>
    </cfRule>
    <cfRule type="cellIs" dxfId="6" priority="8" operator="equal">
      <formula>1</formula>
    </cfRule>
  </conditionalFormatting>
  <conditionalFormatting sqref="BK3:BM3">
    <cfRule type="cellIs" dxfId="5" priority="5" operator="equal">
      <formula>0</formula>
    </cfRule>
    <cfRule type="cellIs" dxfId="4" priority="6" operator="equal">
      <formula>1</formula>
    </cfRule>
  </conditionalFormatting>
  <conditionalFormatting sqref="BP3:BR3">
    <cfRule type="cellIs" dxfId="3" priority="3" operator="equal">
      <formula>0</formula>
    </cfRule>
    <cfRule type="cellIs" dxfId="2" priority="4" operator="equal">
      <formula>1</formula>
    </cfRule>
  </conditionalFormatting>
  <conditionalFormatting sqref="BU3:BW3">
    <cfRule type="cellIs" dxfId="1" priority="1" operator="equal">
      <formula>0</formula>
    </cfRule>
    <cfRule type="cellIs" dxfId="0" priority="2" operator="equal">
      <formula>1</formula>
    </cfRule>
  </conditionalFormatting>
  <hyperlinks>
    <hyperlink ref="A1" location="Índice!A1" display="Regreso al índice" xr:uid="{1AA2476E-09D0-4A43-9A69-363D2247687E}"/>
  </hyperlink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9FE51B-DBA0-467B-850D-CFCE7401F387}">
  <dimension ref="A1:C18"/>
  <sheetViews>
    <sheetView workbookViewId="0"/>
  </sheetViews>
  <sheetFormatPr baseColWidth="10" defaultColWidth="9" defaultRowHeight="10.5" x14ac:dyDescent="0.35"/>
  <cols>
    <col min="1" max="1" width="2.54296875" style="117" customWidth="1"/>
    <col min="2" max="2" width="36.453125" style="117" bestFit="1" customWidth="1"/>
    <col min="3" max="3" width="106.1796875" style="117" customWidth="1"/>
    <col min="4" max="16384" width="9" style="117"/>
  </cols>
  <sheetData>
    <row r="1" spans="1:3" x14ac:dyDescent="0.25">
      <c r="A1" s="130" t="s">
        <v>252</v>
      </c>
    </row>
    <row r="3" spans="1:3" ht="11" thickBot="1" x14ac:dyDescent="0.4">
      <c r="B3" s="116" t="s">
        <v>211</v>
      </c>
      <c r="C3" s="116"/>
    </row>
    <row r="4" spans="1:3" ht="22" thickTop="1" thickBot="1" x14ac:dyDescent="0.4">
      <c r="B4" s="118" t="s">
        <v>212</v>
      </c>
      <c r="C4" s="118" t="s">
        <v>213</v>
      </c>
    </row>
    <row r="5" spans="1:3" ht="32.5" thickTop="1" thickBot="1" x14ac:dyDescent="0.4">
      <c r="B5" s="119" t="s">
        <v>214</v>
      </c>
      <c r="C5" s="119" t="s">
        <v>215</v>
      </c>
    </row>
    <row r="6" spans="1:3" ht="11.5" thickTop="1" thickBot="1" x14ac:dyDescent="0.4">
      <c r="B6" s="118" t="s">
        <v>216</v>
      </c>
      <c r="C6" s="118" t="s">
        <v>217</v>
      </c>
    </row>
    <row r="7" spans="1:3" ht="32.5" thickTop="1" thickBot="1" x14ac:dyDescent="0.4">
      <c r="B7" s="119" t="s">
        <v>218</v>
      </c>
      <c r="C7" s="119" t="s">
        <v>219</v>
      </c>
    </row>
    <row r="8" spans="1:3" ht="32.5" thickTop="1" thickBot="1" x14ac:dyDescent="0.4">
      <c r="B8" s="118" t="s">
        <v>224</v>
      </c>
      <c r="C8" s="118" t="s">
        <v>227</v>
      </c>
    </row>
    <row r="9" spans="1:3" ht="11.5" thickTop="1" thickBot="1" x14ac:dyDescent="0.4">
      <c r="B9" s="119" t="s">
        <v>225</v>
      </c>
      <c r="C9" s="119" t="s">
        <v>226</v>
      </c>
    </row>
    <row r="10" spans="1:3" ht="11.5" thickTop="1" thickBot="1" x14ac:dyDescent="0.4">
      <c r="B10" s="118" t="s">
        <v>220</v>
      </c>
      <c r="C10" s="118" t="s">
        <v>221</v>
      </c>
    </row>
    <row r="11" spans="1:3" ht="11.5" thickTop="1" thickBot="1" x14ac:dyDescent="0.4">
      <c r="B11" s="119" t="s">
        <v>222</v>
      </c>
      <c r="C11" s="119" t="s">
        <v>223</v>
      </c>
    </row>
    <row r="12" spans="1:3" ht="11.5" thickTop="1" thickBot="1" x14ac:dyDescent="0.4">
      <c r="B12" s="118" t="s">
        <v>228</v>
      </c>
      <c r="C12" s="118" t="s">
        <v>229</v>
      </c>
    </row>
    <row r="13" spans="1:3" ht="11.5" thickTop="1" thickBot="1" x14ac:dyDescent="0.4">
      <c r="B13" s="119" t="s">
        <v>230</v>
      </c>
      <c r="C13" s="119" t="s">
        <v>231</v>
      </c>
    </row>
    <row r="14" spans="1:3" ht="22" thickTop="1" thickBot="1" x14ac:dyDescent="0.4">
      <c r="B14" s="118" t="s">
        <v>232</v>
      </c>
      <c r="C14" s="118" t="s">
        <v>236</v>
      </c>
    </row>
    <row r="15" spans="1:3" ht="22" thickTop="1" thickBot="1" x14ac:dyDescent="0.4">
      <c r="B15" s="119" t="s">
        <v>233</v>
      </c>
      <c r="C15" s="119" t="s">
        <v>237</v>
      </c>
    </row>
    <row r="16" spans="1:3" ht="22" thickTop="1" thickBot="1" x14ac:dyDescent="0.4">
      <c r="B16" s="118" t="s">
        <v>234</v>
      </c>
      <c r="C16" s="118" t="s">
        <v>238</v>
      </c>
    </row>
    <row r="17" spans="2:3" ht="127" thickTop="1" thickBot="1" x14ac:dyDescent="0.4">
      <c r="B17" s="119" t="s">
        <v>235</v>
      </c>
      <c r="C17" s="119" t="s">
        <v>239</v>
      </c>
    </row>
    <row r="18" spans="2:3" ht="11" thickTop="1" x14ac:dyDescent="0.35"/>
  </sheetData>
  <sheetProtection algorithmName="SHA-512" hashValue="sRrD4V7LyzVu1bp9lgRFMCuHP3hdQ+rn9n2Q0r8zHIEYntDLwRpZsI+fLLJJA0XnCbRiKkLHG/ZKew6czSUFew==" saltValue="xMi1ge+m+a6BbBBR/iQG3A==" spinCount="100000" sheet="1" objects="1" scenarios="1"/>
  <hyperlinks>
    <hyperlink ref="A1" location="Índice!A1" display="Regreso al índice" xr:uid="{648BEC27-2D7D-479F-B251-1C2947CEC259}"/>
  </hyperlinks>
  <pageMargins left="0.7" right="0.7" top="0.75" bottom="0.75" header="0.3" footer="0.3"/>
  <pageSetup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9</vt:i4>
      </vt:variant>
    </vt:vector>
  </HeadingPairs>
  <TitlesOfParts>
    <vt:vector size="9" baseType="lpstr">
      <vt:lpstr>Índice</vt:lpstr>
      <vt:lpstr>DatosOperativos</vt:lpstr>
      <vt:lpstr>DatosPorCBFI</vt:lpstr>
      <vt:lpstr>LeasingSpreads</vt:lpstr>
      <vt:lpstr>PropiedadesConstantes</vt:lpstr>
      <vt:lpstr>EstadoDeResultados</vt:lpstr>
      <vt:lpstr>Balance</vt:lpstr>
      <vt:lpstr>Flujos</vt:lpstr>
      <vt:lpstr>Glosario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marim</dc:creator>
  <cp:lastModifiedBy>Mónica Cruz Ruelas</cp:lastModifiedBy>
  <dcterms:created xsi:type="dcterms:W3CDTF">2020-02-20T16:40:47Z</dcterms:created>
  <dcterms:modified xsi:type="dcterms:W3CDTF">2026-02-27T15:19:08Z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